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8_{EC117774-9A13-4772-8F6F-DEF32051037A}" xr6:coauthVersionLast="47" xr6:coauthVersionMax="47" xr10:uidLastSave="{00000000-0000-0000-0000-000000000000}"/>
  <bookViews>
    <workbookView xWindow="-108" yWindow="-108" windowWidth="30936" windowHeight="16896" xr2:uid="{00000000-000D-0000-FFFF-FFFF00000000}"/>
  </bookViews>
  <sheets>
    <sheet name="Bölüm 2" sheetId="1" r:id="rId1"/>
    <sheet name="Sayfa1" sheetId="21" r:id="rId2"/>
    <sheet name="Bölüm 3" sheetId="2" r:id="rId3"/>
    <sheet name="Bölüm 4" sheetId="3" r:id="rId4"/>
    <sheet name="Bölüm 6" sheetId="4" r:id="rId5"/>
    <sheet name="Bölüm 7" sheetId="8" r:id="rId6"/>
    <sheet name="Bölüm 8" sheetId="9" r:id="rId7"/>
    <sheet name="Bölüm 9" sheetId="11" r:id="rId8"/>
    <sheet name="Bölüm 10" sheetId="12" r:id="rId9"/>
    <sheet name="Bölüm 11" sheetId="13" r:id="rId10"/>
    <sheet name="Bölüm 12" sheetId="14" r:id="rId11"/>
    <sheet name="Bölüm 13" sheetId="17" r:id="rId12"/>
    <sheet name="Bölüm 14" sheetId="18" r:id="rId13"/>
    <sheet name="Bölüm 15" sheetId="19" r:id="rId14"/>
    <sheet name="Bölüm 16" sheetId="16" r:id="rId15"/>
    <sheet name="Bölüm 17" sheetId="15" r:id="rId16"/>
    <sheet name="ÖZET Z TABLOSU" sheetId="7" r:id="rId17"/>
    <sheet name="Z TABLOSUNUN HAZIRLANIŞI" sheetId="5" r:id="rId18"/>
    <sheet name="Z TABLOSU" sheetId="6" r:id="rId19"/>
    <sheet name="Testler" sheetId="20" r:id="rId20"/>
  </sheets>
  <definedNames>
    <definedName name="_xlnm._FilterDatabase" localSheetId="8" hidden="1">'Bölüm 10'!$L$273:$L$288</definedName>
    <definedName name="_xlnm._FilterDatabase" localSheetId="10" hidden="1">'Bölüm 12'!$A$269:$E$269</definedName>
    <definedName name="_xlnm._FilterDatabase" localSheetId="1" hidden="1">Sayfa1!$F$3:$L$24</definedName>
  </definedNames>
  <calcPr calcId="181029"/>
</workbook>
</file>

<file path=xl/calcChain.xml><?xml version="1.0" encoding="utf-8"?>
<calcChain xmlns="http://schemas.openxmlformats.org/spreadsheetml/2006/main">
  <c r="C428" i="1" l="1"/>
  <c r="E428" i="1"/>
  <c r="C426" i="1"/>
  <c r="C427" i="1" s="1"/>
  <c r="E426" i="1"/>
  <c r="E427" i="1" s="1"/>
  <c r="D423" i="1"/>
  <c r="Q45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12" i="1"/>
  <c r="D421" i="1"/>
  <c r="D417" i="1"/>
  <c r="D419" i="1" s="1"/>
  <c r="D416" i="1"/>
  <c r="D415" i="1"/>
  <c r="D410" i="1"/>
  <c r="AG5" i="21"/>
  <c r="AI5" i="21"/>
  <c r="AF26" i="21"/>
  <c r="AF25" i="21"/>
  <c r="AF6" i="21"/>
  <c r="AF7" i="21"/>
  <c r="AF8" i="21"/>
  <c r="AF9" i="21"/>
  <c r="AF10" i="21"/>
  <c r="AF11" i="21"/>
  <c r="AF12" i="21"/>
  <c r="AF13" i="21"/>
  <c r="AF14" i="21"/>
  <c r="AF15" i="21"/>
  <c r="AF16" i="21"/>
  <c r="AF17" i="21"/>
  <c r="AF18" i="21"/>
  <c r="AF19" i="21"/>
  <c r="AF20" i="21"/>
  <c r="AF21" i="21"/>
  <c r="AF22" i="21"/>
  <c r="AF23" i="21"/>
  <c r="AF24" i="21"/>
  <c r="AF5" i="21"/>
  <c r="AE26" i="21"/>
  <c r="AD30" i="21"/>
  <c r="AD29" i="21"/>
  <c r="AD28" i="21"/>
  <c r="AD27" i="21"/>
  <c r="AE25" i="21"/>
  <c r="AE6" i="21"/>
  <c r="AE7" i="21"/>
  <c r="AE8" i="21"/>
  <c r="AE9" i="21"/>
  <c r="AE10" i="21"/>
  <c r="AE11" i="21"/>
  <c r="AE12" i="21"/>
  <c r="AE13" i="21"/>
  <c r="AE14" i="21"/>
  <c r="AE15" i="21"/>
  <c r="AE16" i="21"/>
  <c r="AE17" i="21"/>
  <c r="AE18" i="21"/>
  <c r="AE19" i="21"/>
  <c r="AE20" i="21"/>
  <c r="AE21" i="21"/>
  <c r="AE22" i="21"/>
  <c r="AE23" i="21"/>
  <c r="AE24" i="21"/>
  <c r="AE5" i="21"/>
  <c r="AD6" i="21"/>
  <c r="AD7" i="21"/>
  <c r="AD8" i="21"/>
  <c r="AD9" i="21"/>
  <c r="AD10" i="21"/>
  <c r="AD11" i="21"/>
  <c r="AD12" i="21"/>
  <c r="AD13" i="21"/>
  <c r="AD14" i="21"/>
  <c r="AD15" i="21"/>
  <c r="AD16" i="21"/>
  <c r="AD17" i="21"/>
  <c r="AD18" i="21"/>
  <c r="AD19" i="21"/>
  <c r="AD20" i="21"/>
  <c r="AD21" i="21"/>
  <c r="AD22" i="21"/>
  <c r="AD23" i="21"/>
  <c r="AD24" i="21"/>
  <c r="AD5" i="21"/>
  <c r="AB11" i="21"/>
  <c r="AB8" i="21"/>
  <c r="AB6" i="21"/>
  <c r="AB5" i="21"/>
  <c r="K62" i="21"/>
  <c r="K61" i="21"/>
  <c r="H58" i="21"/>
  <c r="G60" i="21"/>
  <c r="H60" i="21"/>
  <c r="H59" i="21"/>
  <c r="G58" i="21"/>
  <c r="G59" i="21" s="1"/>
  <c r="I57" i="21" s="1"/>
  <c r="C102" i="21"/>
  <c r="C104" i="21"/>
  <c r="B104" i="21"/>
  <c r="C103" i="21"/>
  <c r="B102" i="21"/>
  <c r="B103" i="21" s="1"/>
  <c r="D94" i="21" s="1"/>
  <c r="M25" i="21"/>
  <c r="B14" i="1"/>
  <c r="B13" i="1"/>
  <c r="N8" i="21"/>
  <c r="N10" i="21" s="1"/>
  <c r="C28" i="17"/>
  <c r="O7" i="17" s="1"/>
  <c r="R7" i="17" s="1"/>
  <c r="D28" i="17"/>
  <c r="P9" i="17" s="1"/>
  <c r="B28" i="17"/>
  <c r="N5" i="17" s="1"/>
  <c r="Q5" i="17" s="1"/>
  <c r="D1248" i="11"/>
  <c r="D1250" i="11" s="1"/>
  <c r="C1248" i="11"/>
  <c r="C1250" i="11" s="1"/>
  <c r="C1203" i="11"/>
  <c r="C1207" i="11"/>
  <c r="C1209" i="11" s="1"/>
  <c r="C1212" i="11" s="1"/>
  <c r="C1218" i="11" s="1"/>
  <c r="C1221" i="11" s="1"/>
  <c r="C1157" i="11"/>
  <c r="E1154" i="11" s="1"/>
  <c r="C1162" i="11" s="1"/>
  <c r="F60" i="11"/>
  <c r="B1121" i="11"/>
  <c r="D1118" i="11" s="1"/>
  <c r="B1082" i="11"/>
  <c r="B1081" i="11"/>
  <c r="B1084" i="11"/>
  <c r="B1083" i="11" s="1"/>
  <c r="D1078" i="11"/>
  <c r="B1070" i="11"/>
  <c r="B1068" i="11"/>
  <c r="B1072" i="11" s="1"/>
  <c r="F1632" i="14"/>
  <c r="D1605" i="14"/>
  <c r="B1605" i="14"/>
  <c r="D1604" i="14"/>
  <c r="B1604" i="14"/>
  <c r="D1602" i="14"/>
  <c r="D1603" i="14" s="1"/>
  <c r="B1602" i="14"/>
  <c r="B1603" i="14" s="1"/>
  <c r="G1597" i="14"/>
  <c r="G1594" i="14"/>
  <c r="G1591" i="14"/>
  <c r="F1556" i="14"/>
  <c r="C1520" i="14"/>
  <c r="D1528" i="14"/>
  <c r="B1528" i="14"/>
  <c r="D1527" i="14"/>
  <c r="B1527" i="14"/>
  <c r="D1525" i="14"/>
  <c r="D1526" i="14" s="1"/>
  <c r="G1520" i="14" s="1"/>
  <c r="B1525" i="14"/>
  <c r="B1526" i="14" s="1"/>
  <c r="F1520" i="14" s="1"/>
  <c r="D407" i="14"/>
  <c r="D408" i="14"/>
  <c r="B408" i="14"/>
  <c r="B407" i="14"/>
  <c r="D405" i="14"/>
  <c r="D406" i="14" s="1"/>
  <c r="B405" i="14"/>
  <c r="B406" i="14" s="1"/>
  <c r="C1475" i="14"/>
  <c r="C1477" i="14"/>
  <c r="C1240" i="14"/>
  <c r="D1220" i="14"/>
  <c r="D1219" i="14"/>
  <c r="D1217" i="14"/>
  <c r="D1218" i="14" s="1"/>
  <c r="G1211" i="14" s="1"/>
  <c r="B1220" i="14"/>
  <c r="B1219" i="14"/>
  <c r="B1217" i="14"/>
  <c r="B1218" i="14" s="1"/>
  <c r="D1119" i="14"/>
  <c r="B1119" i="14"/>
  <c r="D1118" i="14"/>
  <c r="B1118" i="14"/>
  <c r="D1116" i="14"/>
  <c r="D1117" i="14" s="1"/>
  <c r="B1116" i="14"/>
  <c r="B1117" i="14" s="1"/>
  <c r="F1112" i="14" s="1"/>
  <c r="C1052" i="14"/>
  <c r="D1036" i="14"/>
  <c r="B1036" i="14"/>
  <c r="D1035" i="14"/>
  <c r="B1035" i="14"/>
  <c r="D1033" i="14"/>
  <c r="D1034" i="14" s="1"/>
  <c r="B1033" i="14"/>
  <c r="B1034" i="14" s="1"/>
  <c r="B940" i="14"/>
  <c r="B939" i="14"/>
  <c r="D940" i="14"/>
  <c r="D939" i="14"/>
  <c r="D937" i="14"/>
  <c r="D938" i="14" s="1"/>
  <c r="B937" i="14"/>
  <c r="B938" i="14" s="1"/>
  <c r="C880" i="14"/>
  <c r="C867" i="14"/>
  <c r="D828" i="14"/>
  <c r="B828" i="14"/>
  <c r="D827" i="14"/>
  <c r="B827" i="14"/>
  <c r="D825" i="14"/>
  <c r="D826" i="14" s="1"/>
  <c r="B825" i="14"/>
  <c r="B826" i="14" s="1"/>
  <c r="B764" i="14"/>
  <c r="B570" i="14"/>
  <c r="D569" i="14"/>
  <c r="G562" i="14" s="1"/>
  <c r="D570" i="14"/>
  <c r="B568" i="14"/>
  <c r="B569" i="14"/>
  <c r="C561" i="14" s="1"/>
  <c r="D571" i="14"/>
  <c r="B571" i="14"/>
  <c r="D568" i="14"/>
  <c r="D503" i="14"/>
  <c r="D502" i="14"/>
  <c r="B503" i="14"/>
  <c r="B502" i="14"/>
  <c r="D500" i="14"/>
  <c r="D501" i="14" s="1"/>
  <c r="E1028" i="14" s="1"/>
  <c r="B500" i="14"/>
  <c r="B501" i="14" s="1"/>
  <c r="F493" i="14" s="1"/>
  <c r="D441" i="14"/>
  <c r="B441" i="14"/>
  <c r="D440" i="14"/>
  <c r="B440" i="14"/>
  <c r="D438" i="14"/>
  <c r="D439" i="14" s="1"/>
  <c r="B438" i="14"/>
  <c r="B439" i="14" s="1"/>
  <c r="G551" i="1"/>
  <c r="F538" i="1"/>
  <c r="G538" i="1" s="1"/>
  <c r="C16" i="1"/>
  <c r="D178" i="19"/>
  <c r="D177" i="19"/>
  <c r="K174" i="19"/>
  <c r="F177" i="19" s="1"/>
  <c r="I170" i="19"/>
  <c r="E161" i="19"/>
  <c r="D161" i="19"/>
  <c r="C161" i="19"/>
  <c r="B161" i="19"/>
  <c r="E160" i="19"/>
  <c r="E159" i="19"/>
  <c r="E158" i="19"/>
  <c r="E157" i="19"/>
  <c r="E156" i="19"/>
  <c r="K55" i="19"/>
  <c r="F58" i="19" s="1"/>
  <c r="J37" i="19"/>
  <c r="I37" i="19"/>
  <c r="D118" i="19"/>
  <c r="D117" i="19"/>
  <c r="D119" i="19" s="1"/>
  <c r="D60" i="19"/>
  <c r="D26" i="19"/>
  <c r="D25" i="19"/>
  <c r="K114" i="19"/>
  <c r="F117" i="19" s="1"/>
  <c r="E101" i="19"/>
  <c r="L96" i="19" s="1"/>
  <c r="I110" i="19"/>
  <c r="D101" i="19"/>
  <c r="H100" i="19" s="1"/>
  <c r="C101" i="19"/>
  <c r="G97" i="19" s="1"/>
  <c r="B101" i="19"/>
  <c r="F98" i="19" s="1"/>
  <c r="E100" i="19"/>
  <c r="E99" i="19"/>
  <c r="E98" i="19"/>
  <c r="E97" i="19"/>
  <c r="E96" i="19"/>
  <c r="K22" i="19"/>
  <c r="F25" i="19" s="1"/>
  <c r="F41" i="19"/>
  <c r="F37" i="19"/>
  <c r="F38" i="19"/>
  <c r="F39" i="19"/>
  <c r="F40" i="19"/>
  <c r="F36" i="19"/>
  <c r="F42" i="19"/>
  <c r="N37" i="19" s="1"/>
  <c r="D42" i="19"/>
  <c r="I36" i="19" s="1"/>
  <c r="E42" i="19"/>
  <c r="C42" i="19"/>
  <c r="H38" i="19" s="1"/>
  <c r="B42" i="19"/>
  <c r="G40" i="19" s="1"/>
  <c r="I18" i="19"/>
  <c r="E9" i="19"/>
  <c r="K6" i="19" s="1"/>
  <c r="D9" i="19"/>
  <c r="H3" i="19" s="1"/>
  <c r="C9" i="19"/>
  <c r="G5" i="19" s="1"/>
  <c r="B9" i="19"/>
  <c r="F4" i="19" s="1"/>
  <c r="E4" i="19"/>
  <c r="E5" i="19"/>
  <c r="E6" i="19"/>
  <c r="E7" i="19"/>
  <c r="E8" i="19"/>
  <c r="E3" i="19"/>
  <c r="D364" i="14"/>
  <c r="E364" i="14" s="1"/>
  <c r="D365" i="14"/>
  <c r="E365" i="14" s="1"/>
  <c r="D366" i="14"/>
  <c r="E366" i="14" s="1"/>
  <c r="D367" i="14"/>
  <c r="E367" i="14" s="1"/>
  <c r="D368" i="14"/>
  <c r="E368" i="14" s="1"/>
  <c r="D369" i="14"/>
  <c r="E369" i="14" s="1"/>
  <c r="D370" i="14"/>
  <c r="E370" i="14" s="1"/>
  <c r="D371" i="14"/>
  <c r="E371" i="14" s="1"/>
  <c r="D372" i="14"/>
  <c r="E372" i="14" s="1"/>
  <c r="D373" i="14"/>
  <c r="E373" i="14" s="1"/>
  <c r="D374" i="14"/>
  <c r="E374" i="14" s="1"/>
  <c r="D375" i="14"/>
  <c r="E375" i="14" s="1"/>
  <c r="D376" i="14"/>
  <c r="E376" i="14" s="1"/>
  <c r="D377" i="14"/>
  <c r="E377" i="14" s="1"/>
  <c r="D378" i="14"/>
  <c r="E378" i="14" s="1"/>
  <c r="D379" i="14"/>
  <c r="E379" i="14" s="1"/>
  <c r="D380" i="14"/>
  <c r="E380" i="14" s="1"/>
  <c r="D381" i="14"/>
  <c r="E381" i="14" s="1"/>
  <c r="D382" i="14"/>
  <c r="E382" i="14" s="1"/>
  <c r="D363" i="14"/>
  <c r="E363" i="14" s="1"/>
  <c r="F271" i="14"/>
  <c r="H271" i="14" s="1"/>
  <c r="F272" i="14"/>
  <c r="H272" i="14" s="1"/>
  <c r="F273" i="14"/>
  <c r="H273" i="14" s="1"/>
  <c r="F274" i="14"/>
  <c r="H274" i="14" s="1"/>
  <c r="F275" i="14"/>
  <c r="H275" i="14" s="1"/>
  <c r="F276" i="14"/>
  <c r="H276" i="14" s="1"/>
  <c r="F277" i="14"/>
  <c r="H277" i="14" s="1"/>
  <c r="F278" i="14"/>
  <c r="H278" i="14" s="1"/>
  <c r="F279" i="14"/>
  <c r="H279" i="14" s="1"/>
  <c r="F280" i="14"/>
  <c r="H280" i="14" s="1"/>
  <c r="F281" i="14"/>
  <c r="H281" i="14" s="1"/>
  <c r="F282" i="14"/>
  <c r="H282" i="14" s="1"/>
  <c r="F283" i="14"/>
  <c r="H283" i="14" s="1"/>
  <c r="F284" i="14"/>
  <c r="H284" i="14" s="1"/>
  <c r="F285" i="14"/>
  <c r="H285" i="14" s="1"/>
  <c r="F286" i="14"/>
  <c r="H286" i="14" s="1"/>
  <c r="F270" i="14"/>
  <c r="H270" i="14" s="1"/>
  <c r="E265" i="14"/>
  <c r="D253" i="14"/>
  <c r="B253" i="14"/>
  <c r="D252" i="14"/>
  <c r="B252" i="14"/>
  <c r="D250" i="14"/>
  <c r="D251" i="14" s="1"/>
  <c r="B250" i="14"/>
  <c r="B251" i="14" s="1"/>
  <c r="C752" i="11"/>
  <c r="E192" i="14"/>
  <c r="C204" i="14"/>
  <c r="D180" i="14"/>
  <c r="D179" i="14"/>
  <c r="B180" i="14"/>
  <c r="B179" i="14"/>
  <c r="D178" i="14"/>
  <c r="G173" i="14" s="1"/>
  <c r="B178" i="14"/>
  <c r="F174" i="14" s="1"/>
  <c r="C142" i="14"/>
  <c r="C145" i="14"/>
  <c r="E109" i="14"/>
  <c r="B97" i="14"/>
  <c r="D97" i="14"/>
  <c r="D96" i="14"/>
  <c r="B96" i="14"/>
  <c r="D94" i="14"/>
  <c r="D95" i="14" s="1"/>
  <c r="G249" i="14" s="1"/>
  <c r="B94" i="14"/>
  <c r="B95" i="14" s="1"/>
  <c r="E70" i="14"/>
  <c r="B58" i="14"/>
  <c r="D58" i="14"/>
  <c r="D57" i="14"/>
  <c r="B57" i="14"/>
  <c r="D34" i="14"/>
  <c r="D33" i="14"/>
  <c r="B34" i="14"/>
  <c r="B33" i="14"/>
  <c r="D55" i="14"/>
  <c r="D56" i="14" s="1"/>
  <c r="E823" i="14" s="1"/>
  <c r="B55" i="14"/>
  <c r="B56" i="14" s="1"/>
  <c r="C824" i="14" s="1"/>
  <c r="D31" i="14"/>
  <c r="G25" i="14" s="1"/>
  <c r="B31" i="14"/>
  <c r="F23" i="14" s="1"/>
  <c r="C13" i="14"/>
  <c r="F4" i="14" s="1"/>
  <c r="G4" i="14" s="1"/>
  <c r="B13" i="14"/>
  <c r="D4" i="14" s="1"/>
  <c r="E295" i="12"/>
  <c r="L304" i="12"/>
  <c r="E300" i="12" s="1"/>
  <c r="K304" i="12"/>
  <c r="E302" i="12"/>
  <c r="G289" i="12"/>
  <c r="F289" i="12"/>
  <c r="D275" i="12"/>
  <c r="E275" i="12" s="1"/>
  <c r="D276" i="12"/>
  <c r="E276" i="12" s="1"/>
  <c r="D277" i="12"/>
  <c r="E277" i="12" s="1"/>
  <c r="D278" i="12"/>
  <c r="E278" i="12" s="1"/>
  <c r="D279" i="12"/>
  <c r="E279" i="12" s="1"/>
  <c r="D280" i="12"/>
  <c r="E280" i="12" s="1"/>
  <c r="D281" i="12"/>
  <c r="E281" i="12" s="1"/>
  <c r="D282" i="12"/>
  <c r="E282" i="12" s="1"/>
  <c r="D283" i="12"/>
  <c r="E283" i="12" s="1"/>
  <c r="D284" i="12"/>
  <c r="E284" i="12" s="1"/>
  <c r="D285" i="12"/>
  <c r="E285" i="12" s="1"/>
  <c r="D286" i="12"/>
  <c r="E286" i="12" s="1"/>
  <c r="D287" i="12"/>
  <c r="E287" i="12" s="1"/>
  <c r="D288" i="12"/>
  <c r="E288" i="12" s="1"/>
  <c r="D274" i="12"/>
  <c r="E274" i="12" s="1"/>
  <c r="E243" i="12"/>
  <c r="E240" i="12"/>
  <c r="E237" i="12"/>
  <c r="E196" i="12"/>
  <c r="E193" i="12"/>
  <c r="E190" i="12"/>
  <c r="E148" i="12"/>
  <c r="G151" i="12"/>
  <c r="G140" i="12"/>
  <c r="E143" i="12" s="1"/>
  <c r="F140" i="12"/>
  <c r="D139" i="12"/>
  <c r="E139" i="12" s="1"/>
  <c r="D138" i="12"/>
  <c r="E138" i="12" s="1"/>
  <c r="D137" i="12"/>
  <c r="E137" i="12" s="1"/>
  <c r="D136" i="12"/>
  <c r="E136" i="12" s="1"/>
  <c r="D135" i="12"/>
  <c r="E135" i="12" s="1"/>
  <c r="D134" i="12"/>
  <c r="E134" i="12" s="1"/>
  <c r="D133" i="12"/>
  <c r="E133" i="12" s="1"/>
  <c r="D132" i="12"/>
  <c r="E132" i="12" s="1"/>
  <c r="D131" i="12"/>
  <c r="E131" i="12" s="1"/>
  <c r="D130" i="12"/>
  <c r="E130" i="12" s="1"/>
  <c r="E145" i="12"/>
  <c r="E141" i="12"/>
  <c r="D126" i="12"/>
  <c r="D125" i="12"/>
  <c r="D124" i="12"/>
  <c r="D123" i="12"/>
  <c r="D122" i="12"/>
  <c r="D121" i="12"/>
  <c r="D120" i="12"/>
  <c r="D119" i="12"/>
  <c r="D118" i="12"/>
  <c r="D117" i="12"/>
  <c r="D116" i="12"/>
  <c r="D115" i="12"/>
  <c r="F26" i="12"/>
  <c r="D23" i="12"/>
  <c r="D24" i="12"/>
  <c r="D25" i="12"/>
  <c r="D26" i="12"/>
  <c r="D27" i="12"/>
  <c r="D28" i="12"/>
  <c r="D29" i="12"/>
  <c r="D30" i="12"/>
  <c r="D31" i="12"/>
  <c r="D22" i="12"/>
  <c r="B58" i="12"/>
  <c r="B59" i="12" s="1"/>
  <c r="B60" i="12" s="1"/>
  <c r="B99" i="12"/>
  <c r="C110" i="12"/>
  <c r="C71" i="12"/>
  <c r="B42" i="12"/>
  <c r="C52" i="12" s="1"/>
  <c r="B41" i="12"/>
  <c r="B40" i="12"/>
  <c r="F7" i="12"/>
  <c r="D4" i="12"/>
  <c r="D5" i="12"/>
  <c r="D6" i="12"/>
  <c r="D7" i="12"/>
  <c r="D8" i="12"/>
  <c r="D9" i="12"/>
  <c r="D10" i="12"/>
  <c r="D11" i="12"/>
  <c r="D12" i="12"/>
  <c r="D13" i="12"/>
  <c r="D14" i="12"/>
  <c r="D3" i="12"/>
  <c r="D1029" i="11"/>
  <c r="C1016" i="11"/>
  <c r="C1017" i="11" s="1"/>
  <c r="B1017" i="11"/>
  <c r="D990" i="11"/>
  <c r="C978" i="11"/>
  <c r="B978" i="11"/>
  <c r="D951" i="11"/>
  <c r="C939" i="11"/>
  <c r="B939" i="11"/>
  <c r="H903" i="11"/>
  <c r="D905" i="11"/>
  <c r="H905" i="11" s="1"/>
  <c r="D902" i="11"/>
  <c r="C890" i="11"/>
  <c r="D882" i="11"/>
  <c r="C893" i="11" s="1"/>
  <c r="C870" i="11"/>
  <c r="D862" i="11"/>
  <c r="C873" i="11" s="1"/>
  <c r="C850" i="11"/>
  <c r="D842" i="11"/>
  <c r="C853" i="11" s="1"/>
  <c r="C830" i="11"/>
  <c r="D822" i="11"/>
  <c r="C833" i="11" s="1"/>
  <c r="C793" i="11"/>
  <c r="C796" i="11"/>
  <c r="C775" i="11"/>
  <c r="C768" i="11"/>
  <c r="B768" i="11"/>
  <c r="D767" i="11"/>
  <c r="D766" i="11"/>
  <c r="D765" i="11"/>
  <c r="D764" i="11"/>
  <c r="D763" i="11"/>
  <c r="D762" i="11"/>
  <c r="D738" i="11"/>
  <c r="D739" i="11"/>
  <c r="D740" i="11"/>
  <c r="D741" i="11"/>
  <c r="D742" i="11"/>
  <c r="D743" i="11"/>
  <c r="D744" i="11"/>
  <c r="D737" i="11"/>
  <c r="C745" i="11"/>
  <c r="B745" i="11"/>
  <c r="B720" i="11"/>
  <c r="C730" i="11" s="1"/>
  <c r="C728" i="11"/>
  <c r="B655" i="11"/>
  <c r="C660" i="11" s="1"/>
  <c r="C643" i="11"/>
  <c r="C677" i="11"/>
  <c r="C694" i="11"/>
  <c r="C711" i="11"/>
  <c r="B703" i="11"/>
  <c r="C713" i="11" s="1"/>
  <c r="B686" i="11"/>
  <c r="C696" i="11" s="1"/>
  <c r="B669" i="11"/>
  <c r="C679" i="11" s="1"/>
  <c r="B652" i="11"/>
  <c r="C662" i="11" s="1"/>
  <c r="C645" i="11"/>
  <c r="C601" i="11"/>
  <c r="C603" i="11"/>
  <c r="C622" i="11"/>
  <c r="B613" i="11"/>
  <c r="B614" i="11"/>
  <c r="B596" i="11"/>
  <c r="C582" i="11"/>
  <c r="E576" i="11"/>
  <c r="E575" i="11"/>
  <c r="F566" i="11" s="1"/>
  <c r="E577" i="11"/>
  <c r="C556" i="11"/>
  <c r="D912" i="9"/>
  <c r="E550" i="11"/>
  <c r="E549" i="11"/>
  <c r="E548" i="11"/>
  <c r="F541" i="11" s="1"/>
  <c r="F73" i="11"/>
  <c r="F75" i="11"/>
  <c r="F62" i="11"/>
  <c r="F47" i="11"/>
  <c r="F49" i="11"/>
  <c r="E34" i="11"/>
  <c r="D38" i="11" s="1"/>
  <c r="E32" i="11"/>
  <c r="E23" i="11"/>
  <c r="E20" i="11"/>
  <c r="E10" i="11"/>
  <c r="E7" i="11"/>
  <c r="C992" i="9"/>
  <c r="H990" i="9" s="1"/>
  <c r="C984" i="9"/>
  <c r="E975" i="9"/>
  <c r="E976" i="9" s="1"/>
  <c r="B975" i="9"/>
  <c r="C968" i="9"/>
  <c r="D488" i="9"/>
  <c r="E959" i="9"/>
  <c r="E960" i="9" s="1"/>
  <c r="B959" i="9"/>
  <c r="B960" i="9" s="1"/>
  <c r="C949" i="9"/>
  <c r="C931" i="9"/>
  <c r="E938" i="9"/>
  <c r="E939" i="9" s="1"/>
  <c r="B938" i="9"/>
  <c r="B939" i="9" s="1"/>
  <c r="E926" i="9"/>
  <c r="B926" i="9"/>
  <c r="C916" i="9"/>
  <c r="B903" i="9"/>
  <c r="C896" i="9" s="1"/>
  <c r="F901" i="9"/>
  <c r="G897" i="9" s="1"/>
  <c r="C888" i="9"/>
  <c r="F873" i="9"/>
  <c r="G869" i="9" s="1"/>
  <c r="B875" i="9"/>
  <c r="C857" i="9"/>
  <c r="D842" i="9"/>
  <c r="D843" i="9"/>
  <c r="D844" i="9"/>
  <c r="D845" i="9"/>
  <c r="D846" i="9"/>
  <c r="D847" i="9"/>
  <c r="D848" i="9"/>
  <c r="D849" i="9"/>
  <c r="D850" i="9"/>
  <c r="D814" i="9"/>
  <c r="D815" i="9"/>
  <c r="D816" i="9"/>
  <c r="D817" i="9"/>
  <c r="D818" i="9"/>
  <c r="D819" i="9"/>
  <c r="D820" i="9"/>
  <c r="D821" i="9"/>
  <c r="D822" i="9"/>
  <c r="D823" i="9"/>
  <c r="D824" i="9"/>
  <c r="D825" i="9"/>
  <c r="C833" i="9"/>
  <c r="D841" i="9"/>
  <c r="G757" i="9"/>
  <c r="G755" i="9"/>
  <c r="F746" i="9"/>
  <c r="B746" i="9"/>
  <c r="B751" i="9" s="1"/>
  <c r="F726" i="9"/>
  <c r="F733" i="9" s="1"/>
  <c r="F736" i="9" s="1"/>
  <c r="F724" i="9"/>
  <c r="F729" i="9" s="1"/>
  <c r="E736" i="9" s="1"/>
  <c r="D418" i="1" l="1"/>
  <c r="D101" i="21"/>
  <c r="F101" i="21" s="1"/>
  <c r="K57" i="21"/>
  <c r="J57" i="21"/>
  <c r="E1599" i="14"/>
  <c r="D99" i="21"/>
  <c r="F99" i="21" s="1"/>
  <c r="I56" i="21"/>
  <c r="D96" i="21"/>
  <c r="F96" i="21" s="1"/>
  <c r="I55" i="21"/>
  <c r="D93" i="21"/>
  <c r="I54" i="21"/>
  <c r="D92" i="21"/>
  <c r="F92" i="21" s="1"/>
  <c r="I53" i="21"/>
  <c r="F8" i="19"/>
  <c r="D91" i="21"/>
  <c r="F91" i="21" s="1"/>
  <c r="I52" i="21"/>
  <c r="I51" i="21"/>
  <c r="I50" i="21"/>
  <c r="I49" i="21"/>
  <c r="D90" i="21"/>
  <c r="F90" i="21" s="1"/>
  <c r="E1595" i="14"/>
  <c r="D100" i="21"/>
  <c r="F100" i="21" s="1"/>
  <c r="E94" i="21"/>
  <c r="F94" i="21"/>
  <c r="I48" i="21"/>
  <c r="E91" i="21"/>
  <c r="E101" i="21"/>
  <c r="D98" i="21"/>
  <c r="D97" i="21"/>
  <c r="D95" i="21"/>
  <c r="H39" i="19"/>
  <c r="E199" i="12"/>
  <c r="I39" i="19"/>
  <c r="G1593" i="14"/>
  <c r="G1598" i="14"/>
  <c r="K156" i="19"/>
  <c r="G1600" i="14"/>
  <c r="N22" i="17"/>
  <c r="Q22" i="17" s="1"/>
  <c r="C1518" i="14"/>
  <c r="H36" i="19"/>
  <c r="K159" i="19"/>
  <c r="N15" i="17"/>
  <c r="Q15" i="17" s="1"/>
  <c r="K39" i="19"/>
  <c r="J158" i="19"/>
  <c r="E1521" i="14"/>
  <c r="N14" i="17"/>
  <c r="Q14" i="17" s="1"/>
  <c r="G6" i="19"/>
  <c r="K158" i="19"/>
  <c r="I158" i="19"/>
  <c r="C1523" i="14"/>
  <c r="N7" i="17"/>
  <c r="Q7" i="17" s="1"/>
  <c r="G158" i="19"/>
  <c r="I156" i="19"/>
  <c r="I161" i="19" s="1"/>
  <c r="E168" i="19" s="1"/>
  <c r="K172" i="19" s="1"/>
  <c r="G4" i="19"/>
  <c r="L158" i="19"/>
  <c r="C1522" i="14"/>
  <c r="C1596" i="14"/>
  <c r="N6" i="17"/>
  <c r="Q6" i="17" s="1"/>
  <c r="J100" i="19"/>
  <c r="F99" i="19"/>
  <c r="I4" i="19"/>
  <c r="C1521" i="14"/>
  <c r="F1596" i="14"/>
  <c r="P26" i="17"/>
  <c r="P18" i="17"/>
  <c r="G159" i="19"/>
  <c r="C986" i="9"/>
  <c r="I3" i="19"/>
  <c r="H40" i="19"/>
  <c r="J156" i="19"/>
  <c r="J159" i="19"/>
  <c r="D179" i="19"/>
  <c r="C1519" i="14"/>
  <c r="P10" i="17"/>
  <c r="L156" i="19"/>
  <c r="L159" i="19"/>
  <c r="E1600" i="14"/>
  <c r="K157" i="19"/>
  <c r="G160" i="19"/>
  <c r="F539" i="1"/>
  <c r="E1592" i="14"/>
  <c r="G1601" i="14"/>
  <c r="N23" i="17"/>
  <c r="Q23" i="17" s="1"/>
  <c r="J160" i="19"/>
  <c r="E1593" i="14"/>
  <c r="F3" i="19"/>
  <c r="H7" i="19"/>
  <c r="E1519" i="14"/>
  <c r="F1593" i="14"/>
  <c r="H1593" i="14" s="1"/>
  <c r="E1596" i="14"/>
  <c r="C1599" i="14"/>
  <c r="K36" i="19"/>
  <c r="H6" i="19"/>
  <c r="H158" i="19"/>
  <c r="E1518" i="14"/>
  <c r="I40" i="19"/>
  <c r="K38" i="19"/>
  <c r="F7" i="19"/>
  <c r="H5" i="19"/>
  <c r="F160" i="19"/>
  <c r="C1517" i="14"/>
  <c r="C1591" i="14"/>
  <c r="G1596" i="14"/>
  <c r="F1599" i="14"/>
  <c r="F6" i="19"/>
  <c r="H4" i="19"/>
  <c r="F157" i="19"/>
  <c r="C1524" i="14"/>
  <c r="E1591" i="14"/>
  <c r="C1594" i="14"/>
  <c r="C1597" i="14"/>
  <c r="G1599" i="14"/>
  <c r="I38" i="19"/>
  <c r="O41" i="19"/>
  <c r="F5" i="19"/>
  <c r="G157" i="19"/>
  <c r="H160" i="19"/>
  <c r="F1591" i="14"/>
  <c r="H1591" i="14" s="1"/>
  <c r="E1594" i="14"/>
  <c r="E1597" i="14"/>
  <c r="C1600" i="14"/>
  <c r="F1594" i="14"/>
  <c r="H1594" i="14" s="1"/>
  <c r="F1597" i="14"/>
  <c r="H1597" i="14" s="1"/>
  <c r="H96" i="19"/>
  <c r="J41" i="19"/>
  <c r="O39" i="19"/>
  <c r="G3" i="19"/>
  <c r="I5" i="19"/>
  <c r="I157" i="19"/>
  <c r="K160" i="19"/>
  <c r="E1517" i="14"/>
  <c r="C1592" i="14"/>
  <c r="F1600" i="14"/>
  <c r="H1600" i="14" s="1"/>
  <c r="N38" i="19"/>
  <c r="H99" i="19"/>
  <c r="J40" i="19"/>
  <c r="O38" i="19"/>
  <c r="G7" i="19"/>
  <c r="J157" i="19"/>
  <c r="F159" i="19"/>
  <c r="L160" i="19"/>
  <c r="E1524" i="14"/>
  <c r="C1595" i="14"/>
  <c r="O40" i="19"/>
  <c r="H157" i="19"/>
  <c r="M38" i="19"/>
  <c r="H98" i="19"/>
  <c r="J39" i="19"/>
  <c r="O37" i="19"/>
  <c r="F156" i="19"/>
  <c r="E1523" i="14"/>
  <c r="F1592" i="14"/>
  <c r="C1598" i="14"/>
  <c r="C1601" i="14"/>
  <c r="F1628" i="14" s="1"/>
  <c r="J99" i="19"/>
  <c r="H97" i="19"/>
  <c r="J38" i="19"/>
  <c r="O36" i="19"/>
  <c r="G156" i="19"/>
  <c r="L157" i="19"/>
  <c r="H159" i="19"/>
  <c r="E1522" i="14"/>
  <c r="G1592" i="14"/>
  <c r="F1595" i="14"/>
  <c r="E1598" i="14"/>
  <c r="E1601" i="14"/>
  <c r="H156" i="19"/>
  <c r="C1593" i="14"/>
  <c r="G1595" i="14"/>
  <c r="F1598" i="14"/>
  <c r="H1598" i="14" s="1"/>
  <c r="F1601" i="14"/>
  <c r="H1601" i="14" s="1"/>
  <c r="D27" i="19"/>
  <c r="H41" i="19"/>
  <c r="J36" i="19"/>
  <c r="F158" i="19"/>
  <c r="E1520" i="14"/>
  <c r="O8" i="17"/>
  <c r="R8" i="17" s="1"/>
  <c r="P27" i="17"/>
  <c r="N16" i="17"/>
  <c r="Q16" i="17" s="1"/>
  <c r="O10" i="17"/>
  <c r="R10" i="17" s="1"/>
  <c r="P4" i="17"/>
  <c r="N25" i="17"/>
  <c r="Q25" i="17" s="1"/>
  <c r="O19" i="17"/>
  <c r="R19" i="17" s="1"/>
  <c r="P3" i="17"/>
  <c r="N26" i="17"/>
  <c r="Q26" i="17" s="1"/>
  <c r="N18" i="17"/>
  <c r="Q18" i="17" s="1"/>
  <c r="N10" i="17"/>
  <c r="Q10" i="17" s="1"/>
  <c r="O28" i="17"/>
  <c r="R28" i="17" s="1"/>
  <c r="O20" i="17"/>
  <c r="R20" i="17" s="1"/>
  <c r="O12" i="17"/>
  <c r="R12" i="17" s="1"/>
  <c r="O4" i="17"/>
  <c r="R4" i="17" s="1"/>
  <c r="P22" i="17"/>
  <c r="P14" i="17"/>
  <c r="P6" i="17"/>
  <c r="O24" i="17"/>
  <c r="R24" i="17" s="1"/>
  <c r="O17" i="17"/>
  <c r="R17" i="17" s="1"/>
  <c r="P11" i="17"/>
  <c r="N24" i="17"/>
  <c r="Q24" i="17" s="1"/>
  <c r="O18" i="17"/>
  <c r="R18" i="17" s="1"/>
  <c r="P12" i="17"/>
  <c r="N9" i="17"/>
  <c r="Q9" i="17" s="1"/>
  <c r="P21" i="17"/>
  <c r="N27" i="17"/>
  <c r="Q27" i="17" s="1"/>
  <c r="N19" i="17"/>
  <c r="Q19" i="17" s="1"/>
  <c r="N11" i="17"/>
  <c r="Q11" i="17" s="1"/>
  <c r="O3" i="17"/>
  <c r="R3" i="17" s="1"/>
  <c r="O21" i="17"/>
  <c r="R21" i="17" s="1"/>
  <c r="O13" i="17"/>
  <c r="R13" i="17" s="1"/>
  <c r="O5" i="17"/>
  <c r="R5" i="17" s="1"/>
  <c r="P23" i="17"/>
  <c r="P15" i="17"/>
  <c r="P7" i="17"/>
  <c r="O26" i="17"/>
  <c r="R26" i="17" s="1"/>
  <c r="P28" i="17"/>
  <c r="O27" i="17"/>
  <c r="R27" i="17" s="1"/>
  <c r="P13" i="17"/>
  <c r="N28" i="17"/>
  <c r="Q28" i="17" s="1"/>
  <c r="N20" i="17"/>
  <c r="Q20" i="17" s="1"/>
  <c r="N12" i="17"/>
  <c r="Q12" i="17" s="1"/>
  <c r="N4" i="17"/>
  <c r="Q4" i="17" s="1"/>
  <c r="O22" i="17"/>
  <c r="R22" i="17" s="1"/>
  <c r="O14" i="17"/>
  <c r="R14" i="17" s="1"/>
  <c r="O6" i="17"/>
  <c r="R6" i="17" s="1"/>
  <c r="P24" i="17"/>
  <c r="P16" i="17"/>
  <c r="P8" i="17"/>
  <c r="O16" i="17"/>
  <c r="R16" i="17" s="1"/>
  <c r="O25" i="17"/>
  <c r="R25" i="17" s="1"/>
  <c r="O9" i="17"/>
  <c r="R9" i="17" s="1"/>
  <c r="P19" i="17"/>
  <c r="N8" i="17"/>
  <c r="Q8" i="17" s="1"/>
  <c r="P20" i="17"/>
  <c r="N17" i="17"/>
  <c r="Q17" i="17" s="1"/>
  <c r="O11" i="17"/>
  <c r="R11" i="17" s="1"/>
  <c r="P5" i="17"/>
  <c r="N3" i="17"/>
  <c r="Q3" i="17" s="1"/>
  <c r="N21" i="17"/>
  <c r="Q21" i="17" s="1"/>
  <c r="N13" i="17"/>
  <c r="Q13" i="17" s="1"/>
  <c r="O23" i="17"/>
  <c r="R23" i="17" s="1"/>
  <c r="O15" i="17"/>
  <c r="R15" i="17" s="1"/>
  <c r="P25" i="17"/>
  <c r="P17" i="17"/>
  <c r="B1260" i="11"/>
  <c r="B1262" i="11" s="1"/>
  <c r="F1262" i="11" s="1"/>
  <c r="G1262" i="11" s="1"/>
  <c r="C1165" i="11"/>
  <c r="C1167" i="11" s="1"/>
  <c r="C1124" i="11"/>
  <c r="C1127" i="11" s="1"/>
  <c r="B1085" i="11"/>
  <c r="D950" i="11"/>
  <c r="D953" i="11" s="1"/>
  <c r="C913" i="11"/>
  <c r="D1630" i="14"/>
  <c r="C400" i="14"/>
  <c r="F398" i="14"/>
  <c r="F402" i="14"/>
  <c r="C401" i="14"/>
  <c r="F401" i="14"/>
  <c r="F397" i="14"/>
  <c r="C397" i="14"/>
  <c r="F400" i="14"/>
  <c r="F404" i="14"/>
  <c r="C404" i="14"/>
  <c r="F399" i="14"/>
  <c r="F403" i="14"/>
  <c r="C403" i="14"/>
  <c r="E400" i="14"/>
  <c r="G398" i="14"/>
  <c r="G402" i="14"/>
  <c r="E397" i="14"/>
  <c r="G401" i="14"/>
  <c r="G397" i="14"/>
  <c r="E404" i="14"/>
  <c r="G400" i="14"/>
  <c r="G404" i="14"/>
  <c r="E403" i="14"/>
  <c r="G399" i="14"/>
  <c r="G403" i="14"/>
  <c r="E401" i="14"/>
  <c r="G1517" i="14"/>
  <c r="G1521" i="14"/>
  <c r="G1522" i="14"/>
  <c r="G1518" i="14"/>
  <c r="H1520" i="14"/>
  <c r="G1523" i="14"/>
  <c r="G1519" i="14"/>
  <c r="G1524" i="14"/>
  <c r="F1517" i="14"/>
  <c r="F1521" i="14"/>
  <c r="F1522" i="14"/>
  <c r="F1518" i="14"/>
  <c r="F1523" i="14"/>
  <c r="F1519" i="14"/>
  <c r="F1524" i="14"/>
  <c r="E402" i="14"/>
  <c r="E398" i="14"/>
  <c r="E399" i="14"/>
  <c r="C402" i="14"/>
  <c r="C398" i="14"/>
  <c r="C399" i="14"/>
  <c r="E431" i="14"/>
  <c r="F430" i="14"/>
  <c r="G429" i="14"/>
  <c r="G428" i="14"/>
  <c r="G427" i="14"/>
  <c r="C426" i="14"/>
  <c r="E425" i="14"/>
  <c r="F431" i="14"/>
  <c r="G430" i="14"/>
  <c r="C429" i="14"/>
  <c r="C428" i="14"/>
  <c r="C427" i="14"/>
  <c r="E426" i="14"/>
  <c r="F425" i="14"/>
  <c r="G431" i="14"/>
  <c r="C430" i="14"/>
  <c r="E429" i="14"/>
  <c r="E428" i="14"/>
  <c r="E427" i="14"/>
  <c r="F426" i="14"/>
  <c r="G425" i="14"/>
  <c r="C431" i="14"/>
  <c r="E430" i="14"/>
  <c r="F429" i="14"/>
  <c r="F428" i="14"/>
  <c r="F427" i="14"/>
  <c r="G426" i="14"/>
  <c r="C425" i="14"/>
  <c r="F1114" i="14"/>
  <c r="F1210" i="14"/>
  <c r="F1214" i="14"/>
  <c r="F1216" i="14"/>
  <c r="F1213" i="14"/>
  <c r="F1212" i="14"/>
  <c r="F1209" i="14"/>
  <c r="F1211" i="14"/>
  <c r="F1215" i="14"/>
  <c r="E1216" i="14"/>
  <c r="E1212" i="14"/>
  <c r="G1216" i="14"/>
  <c r="G1212" i="14"/>
  <c r="E1209" i="14"/>
  <c r="E1213" i="14"/>
  <c r="G1209" i="14"/>
  <c r="G1213" i="14"/>
  <c r="E1214" i="14"/>
  <c r="E1210" i="14"/>
  <c r="G1214" i="14"/>
  <c r="G1210" i="14"/>
  <c r="E1215" i="14"/>
  <c r="E1211" i="14"/>
  <c r="G1215" i="14"/>
  <c r="C1212" i="14"/>
  <c r="C1216" i="14"/>
  <c r="C1211" i="14"/>
  <c r="C1215" i="14"/>
  <c r="C1210" i="14"/>
  <c r="C1214" i="14"/>
  <c r="F1113" i="14"/>
  <c r="H1113" i="14" s="1"/>
  <c r="C1209" i="14"/>
  <c r="C1213" i="14"/>
  <c r="G1114" i="14"/>
  <c r="G1113" i="14"/>
  <c r="G1115" i="14"/>
  <c r="G1112" i="14"/>
  <c r="G1111" i="14"/>
  <c r="F1115" i="14"/>
  <c r="F1111" i="14"/>
  <c r="E1114" i="14"/>
  <c r="C1113" i="14"/>
  <c r="C1112" i="14"/>
  <c r="C1111" i="14"/>
  <c r="C1115" i="14"/>
  <c r="C1114" i="14"/>
  <c r="E1115" i="14"/>
  <c r="E1111" i="14"/>
  <c r="E1112" i="14"/>
  <c r="E1113" i="14"/>
  <c r="E1022" i="14"/>
  <c r="E1023" i="14"/>
  <c r="E1024" i="14"/>
  <c r="C1025" i="14"/>
  <c r="C1026" i="14"/>
  <c r="C1027" i="14"/>
  <c r="C1028" i="14"/>
  <c r="G1029" i="14"/>
  <c r="G1030" i="14"/>
  <c r="G1031" i="14"/>
  <c r="G1032" i="14"/>
  <c r="C1022" i="14"/>
  <c r="C1023" i="14"/>
  <c r="C1024" i="14"/>
  <c r="G1025" i="14"/>
  <c r="G1026" i="14"/>
  <c r="G1027" i="14"/>
  <c r="G1028" i="14"/>
  <c r="F1029" i="14"/>
  <c r="F1030" i="14"/>
  <c r="F1031" i="14"/>
  <c r="F1032" i="14"/>
  <c r="G1022" i="14"/>
  <c r="G1023" i="14"/>
  <c r="G1024" i="14"/>
  <c r="F1025" i="14"/>
  <c r="F1026" i="14"/>
  <c r="F1027" i="14"/>
  <c r="F1028" i="14"/>
  <c r="E1029" i="14"/>
  <c r="E1030" i="14"/>
  <c r="E1031" i="14"/>
  <c r="E1032" i="14"/>
  <c r="F1022" i="14"/>
  <c r="F1023" i="14"/>
  <c r="F1024" i="14"/>
  <c r="E1025" i="14"/>
  <c r="E1026" i="14"/>
  <c r="E1027" i="14"/>
  <c r="C1029" i="14"/>
  <c r="C1030" i="14"/>
  <c r="C1031" i="14"/>
  <c r="C1032" i="14"/>
  <c r="C823" i="14"/>
  <c r="E931" i="14"/>
  <c r="G931" i="14"/>
  <c r="G935" i="14"/>
  <c r="E932" i="14"/>
  <c r="E936" i="14"/>
  <c r="G930" i="14"/>
  <c r="G934" i="14"/>
  <c r="E935" i="14"/>
  <c r="G933" i="14"/>
  <c r="G929" i="14"/>
  <c r="E934" i="14"/>
  <c r="G932" i="14"/>
  <c r="G936" i="14"/>
  <c r="E933" i="14"/>
  <c r="E929" i="14"/>
  <c r="C929" i="14"/>
  <c r="F931" i="14"/>
  <c r="F935" i="14"/>
  <c r="C931" i="14"/>
  <c r="C935" i="14"/>
  <c r="F930" i="14"/>
  <c r="F934" i="14"/>
  <c r="C930" i="14"/>
  <c r="C934" i="14"/>
  <c r="F933" i="14"/>
  <c r="F929" i="14"/>
  <c r="C933" i="14"/>
  <c r="F932" i="14"/>
  <c r="F936" i="14"/>
  <c r="C932" i="14"/>
  <c r="C936" i="14"/>
  <c r="E930" i="14"/>
  <c r="C563" i="14"/>
  <c r="F819" i="14"/>
  <c r="C566" i="14"/>
  <c r="C815" i="14"/>
  <c r="C812" i="14"/>
  <c r="C814" i="14"/>
  <c r="F818" i="14"/>
  <c r="C822" i="14"/>
  <c r="F564" i="14"/>
  <c r="C813" i="14"/>
  <c r="F817" i="14"/>
  <c r="C821" i="14"/>
  <c r="F566" i="14"/>
  <c r="E812" i="14"/>
  <c r="G816" i="14"/>
  <c r="E820" i="14"/>
  <c r="G824" i="14"/>
  <c r="G813" i="14"/>
  <c r="G814" i="14"/>
  <c r="G815" i="14"/>
  <c r="F816" i="14"/>
  <c r="E817" i="14"/>
  <c r="E818" i="14"/>
  <c r="E819" i="14"/>
  <c r="C820" i="14"/>
  <c r="G821" i="14"/>
  <c r="G822" i="14"/>
  <c r="G823" i="14"/>
  <c r="F824" i="14"/>
  <c r="H824" i="14" s="1"/>
  <c r="C567" i="14"/>
  <c r="F560" i="14"/>
  <c r="G812" i="14"/>
  <c r="F813" i="14"/>
  <c r="F814" i="14"/>
  <c r="F815" i="14"/>
  <c r="E816" i="14"/>
  <c r="C817" i="14"/>
  <c r="C818" i="14"/>
  <c r="C819" i="14"/>
  <c r="G820" i="14"/>
  <c r="F821" i="14"/>
  <c r="F822" i="14"/>
  <c r="F823" i="14"/>
  <c r="E824" i="14"/>
  <c r="C562" i="14"/>
  <c r="F562" i="14"/>
  <c r="H562" i="14" s="1"/>
  <c r="F812" i="14"/>
  <c r="E813" i="14"/>
  <c r="E814" i="14"/>
  <c r="E815" i="14"/>
  <c r="C816" i="14"/>
  <c r="G817" i="14"/>
  <c r="G818" i="14"/>
  <c r="G819" i="14"/>
  <c r="F820" i="14"/>
  <c r="E821" i="14"/>
  <c r="E822" i="14"/>
  <c r="E566" i="14"/>
  <c r="E562" i="14"/>
  <c r="G560" i="14"/>
  <c r="C560" i="14"/>
  <c r="C564" i="14"/>
  <c r="E560" i="14"/>
  <c r="E564" i="14"/>
  <c r="F567" i="14"/>
  <c r="F565" i="14"/>
  <c r="F563" i="14"/>
  <c r="F561" i="14"/>
  <c r="C565" i="14"/>
  <c r="E565" i="14"/>
  <c r="E561" i="14"/>
  <c r="G567" i="14"/>
  <c r="G565" i="14"/>
  <c r="G563" i="14"/>
  <c r="G561" i="14"/>
  <c r="E567" i="14"/>
  <c r="E563" i="14"/>
  <c r="G566" i="14"/>
  <c r="G564" i="14"/>
  <c r="G493" i="14"/>
  <c r="H493" i="14" s="1"/>
  <c r="C499" i="14"/>
  <c r="C491" i="14"/>
  <c r="F498" i="14"/>
  <c r="F490" i="14"/>
  <c r="C493" i="14"/>
  <c r="F489" i="14"/>
  <c r="F492" i="14"/>
  <c r="C495" i="14"/>
  <c r="C489" i="14"/>
  <c r="F494" i="14"/>
  <c r="C497" i="14"/>
  <c r="F496" i="14"/>
  <c r="G495" i="14"/>
  <c r="E499" i="14"/>
  <c r="E495" i="14"/>
  <c r="E491" i="14"/>
  <c r="G498" i="14"/>
  <c r="G494" i="14"/>
  <c r="G490" i="14"/>
  <c r="E497" i="14"/>
  <c r="E493" i="14"/>
  <c r="G489" i="14"/>
  <c r="G496" i="14"/>
  <c r="G492" i="14"/>
  <c r="E489" i="14"/>
  <c r="E496" i="14"/>
  <c r="E492" i="14"/>
  <c r="G499" i="14"/>
  <c r="G491" i="14"/>
  <c r="E498" i="14"/>
  <c r="E494" i="14"/>
  <c r="E490" i="14"/>
  <c r="G497" i="14"/>
  <c r="C498" i="14"/>
  <c r="C494" i="14"/>
  <c r="C490" i="14"/>
  <c r="F499" i="14"/>
  <c r="F495" i="14"/>
  <c r="F491" i="14"/>
  <c r="C496" i="14"/>
  <c r="C492" i="14"/>
  <c r="F497" i="14"/>
  <c r="E170" i="14"/>
  <c r="E173" i="14"/>
  <c r="E174" i="14"/>
  <c r="G174" i="14"/>
  <c r="H174" i="14" s="1"/>
  <c r="E176" i="14"/>
  <c r="G175" i="14"/>
  <c r="E177" i="14"/>
  <c r="E172" i="14"/>
  <c r="G170" i="14"/>
  <c r="G172" i="14"/>
  <c r="D12" i="14"/>
  <c r="E12" i="14" s="1"/>
  <c r="F171" i="14"/>
  <c r="C29" i="14"/>
  <c r="C173" i="14"/>
  <c r="F175" i="14"/>
  <c r="C177" i="14"/>
  <c r="G176" i="14"/>
  <c r="G171" i="14"/>
  <c r="E43" i="14"/>
  <c r="G437" i="14"/>
  <c r="G436" i="14"/>
  <c r="E434" i="14"/>
  <c r="E433" i="14"/>
  <c r="E432" i="14"/>
  <c r="G45" i="14"/>
  <c r="G49" i="14"/>
  <c r="G53" i="14"/>
  <c r="G46" i="14"/>
  <c r="G50" i="14"/>
  <c r="G54" i="14"/>
  <c r="E435" i="14"/>
  <c r="G44" i="14"/>
  <c r="G48" i="14"/>
  <c r="G52" i="14"/>
  <c r="G435" i="14"/>
  <c r="E437" i="14"/>
  <c r="E436" i="14"/>
  <c r="G434" i="14"/>
  <c r="G433" i="14"/>
  <c r="G432" i="14"/>
  <c r="G43" i="14"/>
  <c r="G47" i="14"/>
  <c r="G51" i="14"/>
  <c r="G42" i="14"/>
  <c r="C435" i="14"/>
  <c r="F44" i="14"/>
  <c r="F48" i="14"/>
  <c r="F52" i="14"/>
  <c r="C45" i="14"/>
  <c r="C49" i="14"/>
  <c r="C53" i="14"/>
  <c r="F45" i="14"/>
  <c r="F49" i="14"/>
  <c r="F53" i="14"/>
  <c r="C46" i="14"/>
  <c r="C50" i="14"/>
  <c r="C54" i="14"/>
  <c r="C437" i="14"/>
  <c r="C436" i="14"/>
  <c r="F434" i="14"/>
  <c r="F433" i="14"/>
  <c r="F432" i="14"/>
  <c r="F43" i="14"/>
  <c r="F47" i="14"/>
  <c r="F51" i="14"/>
  <c r="F42" i="14"/>
  <c r="C44" i="14"/>
  <c r="C48" i="14"/>
  <c r="C52" i="14"/>
  <c r="F435" i="14"/>
  <c r="F46" i="14"/>
  <c r="F50" i="14"/>
  <c r="F54" i="14"/>
  <c r="C43" i="14"/>
  <c r="C47" i="14"/>
  <c r="C51" i="14"/>
  <c r="C42" i="14"/>
  <c r="F436" i="14"/>
  <c r="C434" i="14"/>
  <c r="C433" i="14"/>
  <c r="C432" i="14"/>
  <c r="F437" i="14"/>
  <c r="F80" i="14"/>
  <c r="C247" i="14"/>
  <c r="F243" i="14"/>
  <c r="C239" i="14"/>
  <c r="F235" i="14"/>
  <c r="F82" i="14"/>
  <c r="F88" i="14"/>
  <c r="F92" i="14"/>
  <c r="C79" i="14"/>
  <c r="C83" i="14"/>
  <c r="C87" i="14"/>
  <c r="C91" i="14"/>
  <c r="F84" i="14"/>
  <c r="F89" i="14"/>
  <c r="F93" i="14"/>
  <c r="C80" i="14"/>
  <c r="C84" i="14"/>
  <c r="C88" i="14"/>
  <c r="C92" i="14"/>
  <c r="C249" i="14"/>
  <c r="C248" i="14"/>
  <c r="F246" i="14"/>
  <c r="F245" i="14"/>
  <c r="F244" i="14"/>
  <c r="C242" i="14"/>
  <c r="C241" i="14"/>
  <c r="C240" i="14"/>
  <c r="F238" i="14"/>
  <c r="F237" i="14"/>
  <c r="F236" i="14"/>
  <c r="C234" i="14"/>
  <c r="C233" i="14"/>
  <c r="F81" i="14"/>
  <c r="F86" i="14"/>
  <c r="F91" i="14"/>
  <c r="C78" i="14"/>
  <c r="C82" i="14"/>
  <c r="C86" i="14"/>
  <c r="C90" i="14"/>
  <c r="C77" i="14"/>
  <c r="F85" i="14"/>
  <c r="F90" i="14"/>
  <c r="F77" i="14"/>
  <c r="C81" i="14"/>
  <c r="C85" i="14"/>
  <c r="C89" i="14"/>
  <c r="C93" i="14"/>
  <c r="F249" i="14"/>
  <c r="H249" i="14" s="1"/>
  <c r="F248" i="14"/>
  <c r="C246" i="14"/>
  <c r="C245" i="14"/>
  <c r="F242" i="14"/>
  <c r="F240" i="14"/>
  <c r="C238" i="14"/>
  <c r="C236" i="14"/>
  <c r="F234" i="14"/>
  <c r="F247" i="14"/>
  <c r="C243" i="14"/>
  <c r="F239" i="14"/>
  <c r="C235" i="14"/>
  <c r="C244" i="14"/>
  <c r="F241" i="14"/>
  <c r="C237" i="14"/>
  <c r="F233" i="14"/>
  <c r="H287" i="14"/>
  <c r="D289" i="14" s="1"/>
  <c r="E383" i="14"/>
  <c r="D386" i="14" s="1"/>
  <c r="E235" i="14"/>
  <c r="G239" i="14"/>
  <c r="F10" i="14"/>
  <c r="G10" i="14" s="1"/>
  <c r="E28" i="14"/>
  <c r="F176" i="14"/>
  <c r="F172" i="14"/>
  <c r="H172" i="14" s="1"/>
  <c r="E233" i="14"/>
  <c r="E234" i="14"/>
  <c r="G236" i="14"/>
  <c r="G237" i="14"/>
  <c r="G238" i="14"/>
  <c r="E240" i="14"/>
  <c r="E241" i="14"/>
  <c r="E242" i="14"/>
  <c r="G244" i="14"/>
  <c r="G245" i="14"/>
  <c r="G246" i="14"/>
  <c r="E248" i="14"/>
  <c r="E249" i="14"/>
  <c r="E243" i="14"/>
  <c r="G247" i="14"/>
  <c r="C170" i="14"/>
  <c r="C174" i="14"/>
  <c r="F3" i="14"/>
  <c r="G3" i="14" s="1"/>
  <c r="F5" i="14"/>
  <c r="G5" i="14" s="1"/>
  <c r="C25" i="14"/>
  <c r="C175" i="14"/>
  <c r="C171" i="14"/>
  <c r="E175" i="14"/>
  <c r="E171" i="14"/>
  <c r="F177" i="14"/>
  <c r="F173" i="14"/>
  <c r="H173" i="14" s="1"/>
  <c r="G177" i="14"/>
  <c r="G235" i="14"/>
  <c r="E239" i="14"/>
  <c r="G243" i="14"/>
  <c r="E247" i="14"/>
  <c r="F9" i="14"/>
  <c r="G9" i="14" s="1"/>
  <c r="E24" i="14"/>
  <c r="F6" i="14"/>
  <c r="G6" i="14" s="1"/>
  <c r="G29" i="14"/>
  <c r="C176" i="14"/>
  <c r="C172" i="14"/>
  <c r="F170" i="14"/>
  <c r="G233" i="14"/>
  <c r="G234" i="14"/>
  <c r="E236" i="14"/>
  <c r="E237" i="14"/>
  <c r="E238" i="14"/>
  <c r="G240" i="14"/>
  <c r="G241" i="14"/>
  <c r="G242" i="14"/>
  <c r="E244" i="14"/>
  <c r="E245" i="14"/>
  <c r="E246" i="14"/>
  <c r="G248" i="14"/>
  <c r="K97" i="19"/>
  <c r="L97" i="19"/>
  <c r="K98" i="19"/>
  <c r="L98" i="19"/>
  <c r="I98" i="19"/>
  <c r="J97" i="19"/>
  <c r="J98" i="19"/>
  <c r="G36" i="19"/>
  <c r="F100" i="19"/>
  <c r="G98" i="19"/>
  <c r="I97" i="19"/>
  <c r="L37" i="19"/>
  <c r="G99" i="19"/>
  <c r="I96" i="19"/>
  <c r="L38" i="19"/>
  <c r="J96" i="19"/>
  <c r="K99" i="19"/>
  <c r="G100" i="19"/>
  <c r="G37" i="19"/>
  <c r="I41" i="19"/>
  <c r="G96" i="19"/>
  <c r="G38" i="19"/>
  <c r="K37" i="19"/>
  <c r="F96" i="19"/>
  <c r="L99" i="19"/>
  <c r="K100" i="19"/>
  <c r="K96" i="19"/>
  <c r="F97" i="19"/>
  <c r="G39" i="19"/>
  <c r="H37" i="19"/>
  <c r="L100" i="19"/>
  <c r="L40" i="19"/>
  <c r="N39" i="19"/>
  <c r="L36" i="19"/>
  <c r="M40" i="19"/>
  <c r="M36" i="19"/>
  <c r="M39" i="19"/>
  <c r="N40" i="19"/>
  <c r="N36" i="19"/>
  <c r="M41" i="19"/>
  <c r="M37" i="19"/>
  <c r="L39" i="19"/>
  <c r="N41" i="19"/>
  <c r="L7" i="19"/>
  <c r="J5" i="19"/>
  <c r="J8" i="19"/>
  <c r="K5" i="19"/>
  <c r="L4" i="19"/>
  <c r="K3" i="19"/>
  <c r="L5" i="19"/>
  <c r="L6" i="19"/>
  <c r="J4" i="19"/>
  <c r="K4" i="19"/>
  <c r="K7" i="19"/>
  <c r="L3" i="19"/>
  <c r="J6" i="19"/>
  <c r="J7" i="19"/>
  <c r="J3" i="19"/>
  <c r="G81" i="14"/>
  <c r="G82" i="14"/>
  <c r="G90" i="14"/>
  <c r="E79" i="14"/>
  <c r="E84" i="14"/>
  <c r="E89" i="14"/>
  <c r="E77" i="14"/>
  <c r="G78" i="14"/>
  <c r="G89" i="14"/>
  <c r="G77" i="14"/>
  <c r="E83" i="14"/>
  <c r="E88" i="14"/>
  <c r="E93" i="14"/>
  <c r="G87" i="14"/>
  <c r="G93" i="14"/>
  <c r="H93" i="14" s="1"/>
  <c r="E81" i="14"/>
  <c r="E87" i="14"/>
  <c r="E92" i="14"/>
  <c r="G86" i="14"/>
  <c r="G91" i="14"/>
  <c r="E80" i="14"/>
  <c r="E85" i="14"/>
  <c r="E91" i="14"/>
  <c r="F78" i="14"/>
  <c r="F87" i="14"/>
  <c r="F83" i="14"/>
  <c r="F79" i="14"/>
  <c r="G83" i="14"/>
  <c r="G79" i="14"/>
  <c r="E90" i="14"/>
  <c r="E86" i="14"/>
  <c r="E82" i="14"/>
  <c r="E78" i="14"/>
  <c r="G92" i="14"/>
  <c r="G88" i="14"/>
  <c r="G84" i="14"/>
  <c r="G80" i="14"/>
  <c r="H80" i="14" s="1"/>
  <c r="G85" i="14"/>
  <c r="E52" i="14"/>
  <c r="E48" i="14"/>
  <c r="E44" i="14"/>
  <c r="E53" i="14"/>
  <c r="E49" i="14"/>
  <c r="E45" i="14"/>
  <c r="E54" i="14"/>
  <c r="E50" i="14"/>
  <c r="E46" i="14"/>
  <c r="E42" i="14"/>
  <c r="E51" i="14"/>
  <c r="E47" i="14"/>
  <c r="H4" i="14"/>
  <c r="E4" i="14"/>
  <c r="D3" i="14"/>
  <c r="D9" i="14"/>
  <c r="D5" i="14"/>
  <c r="F11" i="14"/>
  <c r="G11" i="14" s="1"/>
  <c r="F7" i="14"/>
  <c r="G7" i="14" s="1"/>
  <c r="C30" i="14"/>
  <c r="C26" i="14"/>
  <c r="C22" i="14"/>
  <c r="E29" i="14"/>
  <c r="E25" i="14"/>
  <c r="F28" i="14"/>
  <c r="F24" i="14"/>
  <c r="G30" i="14"/>
  <c r="G26" i="14"/>
  <c r="G22" i="14"/>
  <c r="D10" i="14"/>
  <c r="D6" i="14"/>
  <c r="F12" i="14"/>
  <c r="G12" i="14" s="1"/>
  <c r="F8" i="14"/>
  <c r="G8" i="14" s="1"/>
  <c r="C27" i="14"/>
  <c r="C23" i="14"/>
  <c r="E30" i="14"/>
  <c r="E26" i="14"/>
  <c r="E22" i="14"/>
  <c r="F29" i="14"/>
  <c r="F25" i="14"/>
  <c r="H25" i="14" s="1"/>
  <c r="G21" i="14"/>
  <c r="G27" i="14"/>
  <c r="G23" i="14"/>
  <c r="H23" i="14" s="1"/>
  <c r="D11" i="14"/>
  <c r="D7" i="14"/>
  <c r="C28" i="14"/>
  <c r="C24" i="14"/>
  <c r="C21" i="14"/>
  <c r="E21" i="14"/>
  <c r="E27" i="14"/>
  <c r="E23" i="14"/>
  <c r="F30" i="14"/>
  <c r="F26" i="14"/>
  <c r="F22" i="14"/>
  <c r="G28" i="14"/>
  <c r="G24" i="14"/>
  <c r="D8" i="14"/>
  <c r="F21" i="14"/>
  <c r="F27" i="14"/>
  <c r="E304" i="12"/>
  <c r="G116" i="12"/>
  <c r="H116" i="12" s="1"/>
  <c r="E151" i="12"/>
  <c r="E246" i="12"/>
  <c r="G115" i="12"/>
  <c r="H115" i="12" s="1"/>
  <c r="G117" i="12"/>
  <c r="D48" i="12"/>
  <c r="G4" i="12"/>
  <c r="H4" i="12" s="1"/>
  <c r="G22" i="12"/>
  <c r="G3" i="12"/>
  <c r="H3" i="12" s="1"/>
  <c r="G23" i="12"/>
  <c r="H23" i="12" s="1"/>
  <c r="G5" i="12"/>
  <c r="G24" i="12"/>
  <c r="B100" i="12"/>
  <c r="D107" i="12" s="1"/>
  <c r="D67" i="12"/>
  <c r="D1028" i="11"/>
  <c r="D1031" i="11" s="1"/>
  <c r="D989" i="11"/>
  <c r="D992" i="11" s="1"/>
  <c r="D745" i="11"/>
  <c r="E738" i="11" s="1"/>
  <c r="D768" i="11"/>
  <c r="E766" i="11" s="1"/>
  <c r="C624" i="11"/>
  <c r="F546" i="11"/>
  <c r="F542" i="11"/>
  <c r="F547" i="11"/>
  <c r="F543" i="11"/>
  <c r="B568" i="11"/>
  <c r="F565" i="11"/>
  <c r="F571" i="11"/>
  <c r="F567" i="11"/>
  <c r="F540" i="11"/>
  <c r="F544" i="11"/>
  <c r="B543" i="11"/>
  <c r="F572" i="11"/>
  <c r="F568" i="11"/>
  <c r="F545" i="11"/>
  <c r="F573" i="11"/>
  <c r="F569" i="11"/>
  <c r="F574" i="11"/>
  <c r="F570" i="11"/>
  <c r="C970" i="9"/>
  <c r="B986" i="9"/>
  <c r="B976" i="9"/>
  <c r="B933" i="9"/>
  <c r="C933" i="9"/>
  <c r="B970" i="9"/>
  <c r="C947" i="9"/>
  <c r="C951" i="9"/>
  <c r="C882" i="9"/>
  <c r="G898" i="9"/>
  <c r="C901" i="9"/>
  <c r="C897" i="9"/>
  <c r="G899" i="9"/>
  <c r="C902" i="9"/>
  <c r="C898" i="9"/>
  <c r="G900" i="9"/>
  <c r="G896" i="9"/>
  <c r="C895" i="9"/>
  <c r="C899" i="9"/>
  <c r="G895" i="9"/>
  <c r="C900" i="9"/>
  <c r="C868" i="9"/>
  <c r="C871" i="9"/>
  <c r="C872" i="9"/>
  <c r="C865" i="9"/>
  <c r="C867" i="9"/>
  <c r="C874" i="9"/>
  <c r="C870" i="9"/>
  <c r="C866" i="9"/>
  <c r="D851" i="9"/>
  <c r="E844" i="9" s="1"/>
  <c r="G867" i="9"/>
  <c r="C873" i="9"/>
  <c r="C869" i="9"/>
  <c r="G871" i="9"/>
  <c r="C910" i="9"/>
  <c r="G870" i="9"/>
  <c r="G866" i="9"/>
  <c r="G868" i="9"/>
  <c r="G872" i="9"/>
  <c r="G865" i="9"/>
  <c r="D826" i="9"/>
  <c r="E820" i="9" s="1"/>
  <c r="C743" i="9"/>
  <c r="C745" i="9"/>
  <c r="C741" i="9"/>
  <c r="C744" i="9"/>
  <c r="C740" i="9"/>
  <c r="C742" i="9"/>
  <c r="F714" i="9"/>
  <c r="E717" i="9" s="1"/>
  <c r="B701" i="9"/>
  <c r="F699" i="9" s="1"/>
  <c r="B689" i="9"/>
  <c r="F687" i="9" s="1"/>
  <c r="B682" i="9"/>
  <c r="E679" i="9" s="1"/>
  <c r="E671" i="9"/>
  <c r="E674" i="9" s="1"/>
  <c r="F674" i="9" s="1"/>
  <c r="G674" i="9" s="1"/>
  <c r="E670" i="9"/>
  <c r="E673" i="9" s="1"/>
  <c r="F673" i="9" s="1"/>
  <c r="G673" i="9" s="1"/>
  <c r="F667" i="9"/>
  <c r="F664" i="9"/>
  <c r="B649" i="9"/>
  <c r="B650" i="9" s="1"/>
  <c r="B644" i="9"/>
  <c r="B645" i="9" s="1"/>
  <c r="B639" i="9"/>
  <c r="B640" i="9" s="1"/>
  <c r="B633" i="9"/>
  <c r="B635" i="9" s="1"/>
  <c r="B623" i="9"/>
  <c r="B625" i="9" s="1"/>
  <c r="B613" i="9"/>
  <c r="B615" i="9" s="1"/>
  <c r="D583" i="9"/>
  <c r="C586" i="9" s="1"/>
  <c r="C588" i="9" s="1"/>
  <c r="C590" i="9" s="1"/>
  <c r="D573" i="9"/>
  <c r="C604" i="9"/>
  <c r="C594" i="9"/>
  <c r="B594" i="9"/>
  <c r="C567" i="9"/>
  <c r="B569" i="9" s="1"/>
  <c r="C551" i="9"/>
  <c r="C535" i="9"/>
  <c r="C525" i="9"/>
  <c r="B525" i="9"/>
  <c r="C495" i="9"/>
  <c r="D507" i="9"/>
  <c r="B509" i="9"/>
  <c r="C509" i="9"/>
  <c r="D478" i="9"/>
  <c r="C481" i="9" s="1"/>
  <c r="C470" i="9"/>
  <c r="B470" i="9"/>
  <c r="C476" i="9"/>
  <c r="C490" i="9"/>
  <c r="B490" i="9"/>
  <c r="B462" i="9"/>
  <c r="D469" i="9"/>
  <c r="C456" i="9"/>
  <c r="B456" i="9"/>
  <c r="D454" i="9"/>
  <c r="B447" i="9"/>
  <c r="C441" i="9"/>
  <c r="B441" i="9"/>
  <c r="D439" i="9"/>
  <c r="B432" i="9"/>
  <c r="D424" i="9"/>
  <c r="C426" i="9"/>
  <c r="B426" i="9"/>
  <c r="B417" i="9"/>
  <c r="C411" i="9"/>
  <c r="B411" i="9"/>
  <c r="D409" i="9"/>
  <c r="B399" i="9"/>
  <c r="D391" i="9"/>
  <c r="D392" i="9"/>
  <c r="D393" i="9"/>
  <c r="D394" i="9"/>
  <c r="D395" i="9"/>
  <c r="D390" i="9"/>
  <c r="B373" i="9"/>
  <c r="D361" i="9"/>
  <c r="D362" i="9"/>
  <c r="D363" i="9"/>
  <c r="D364" i="9"/>
  <c r="D365" i="9"/>
  <c r="D366" i="9"/>
  <c r="D367" i="9"/>
  <c r="D368" i="9"/>
  <c r="D369" i="9"/>
  <c r="D360" i="9"/>
  <c r="B344" i="9"/>
  <c r="B343" i="9"/>
  <c r="B346" i="9" s="1"/>
  <c r="B342" i="9"/>
  <c r="C341" i="9" s="1"/>
  <c r="B325" i="9"/>
  <c r="C328" i="9" s="1"/>
  <c r="B317" i="9"/>
  <c r="B320" i="9" s="1"/>
  <c r="B294" i="9"/>
  <c r="D286" i="9"/>
  <c r="C289" i="9" s="1"/>
  <c r="C290" i="9" s="1"/>
  <c r="D287" i="9"/>
  <c r="B276" i="9" s="1"/>
  <c r="D285" i="9"/>
  <c r="B275" i="9" s="1"/>
  <c r="B277" i="9"/>
  <c r="E127" i="9"/>
  <c r="E126" i="9"/>
  <c r="B119" i="9" s="1"/>
  <c r="E125" i="9"/>
  <c r="B118" i="9" s="1"/>
  <c r="E268" i="9"/>
  <c r="E269" i="9"/>
  <c r="B262" i="9" s="1"/>
  <c r="E267" i="9"/>
  <c r="B261" i="9" s="1"/>
  <c r="B263" i="9"/>
  <c r="C257" i="9"/>
  <c r="B257" i="9"/>
  <c r="B245" i="9"/>
  <c r="B246" i="9" s="1"/>
  <c r="B239" i="9"/>
  <c r="B237" i="9"/>
  <c r="B230" i="9"/>
  <c r="B228" i="9"/>
  <c r="B229" i="9" s="1"/>
  <c r="B222" i="9"/>
  <c r="B220" i="9"/>
  <c r="B211" i="9"/>
  <c r="B213" i="9" s="1"/>
  <c r="B215" i="9" s="1"/>
  <c r="B216" i="9" s="1"/>
  <c r="B203" i="9"/>
  <c r="B201" i="9"/>
  <c r="B202" i="9" s="1"/>
  <c r="B195" i="9"/>
  <c r="B194" i="9"/>
  <c r="D54" i="9"/>
  <c r="D55" i="9" s="1"/>
  <c r="D56" i="9" s="1"/>
  <c r="B180" i="9"/>
  <c r="E189" i="9"/>
  <c r="B179" i="9" s="1"/>
  <c r="E188" i="9"/>
  <c r="E187" i="9"/>
  <c r="F179" i="9" s="1"/>
  <c r="B133" i="9"/>
  <c r="B148" i="9"/>
  <c r="B161" i="9"/>
  <c r="B170" i="9"/>
  <c r="B169" i="9"/>
  <c r="B168" i="9"/>
  <c r="B146" i="9"/>
  <c r="B295" i="9" s="1"/>
  <c r="D142" i="9"/>
  <c r="B132" i="9" s="1"/>
  <c r="D141" i="9"/>
  <c r="E133" i="9" s="1"/>
  <c r="B120" i="9"/>
  <c r="B110" i="9"/>
  <c r="B113" i="9" s="1"/>
  <c r="B100" i="9"/>
  <c r="B102" i="9"/>
  <c r="B103" i="9" s="1"/>
  <c r="B104" i="9" s="1"/>
  <c r="B91" i="9"/>
  <c r="B94" i="9" s="1"/>
  <c r="B83" i="9"/>
  <c r="B84" i="9" s="1"/>
  <c r="B85" i="9" s="1"/>
  <c r="B72" i="9"/>
  <c r="B75" i="9" s="1"/>
  <c r="B62" i="9"/>
  <c r="B65" i="9" s="1"/>
  <c r="B51" i="9"/>
  <c r="B55" i="9" s="1"/>
  <c r="B49" i="9"/>
  <c r="B39" i="9"/>
  <c r="B40" i="9"/>
  <c r="B26" i="9"/>
  <c r="B38" i="9"/>
  <c r="C31" i="9" s="1"/>
  <c r="B15" i="9"/>
  <c r="B18" i="9" s="1"/>
  <c r="D8" i="9"/>
  <c r="D9" i="9" s="1"/>
  <c r="B9" i="9"/>
  <c r="B8" i="9"/>
  <c r="C246" i="8"/>
  <c r="C247" i="8" s="1"/>
  <c r="B246" i="8"/>
  <c r="E242" i="8"/>
  <c r="B240" i="8"/>
  <c r="A245" i="8" s="1"/>
  <c r="C225" i="8"/>
  <c r="B225" i="8"/>
  <c r="F219" i="8"/>
  <c r="B221" i="8"/>
  <c r="A224" i="8" s="1"/>
  <c r="E184" i="8"/>
  <c r="B199" i="8"/>
  <c r="B198" i="8"/>
  <c r="C187" i="8"/>
  <c r="C196" i="8"/>
  <c r="C185" i="8"/>
  <c r="B197" i="8"/>
  <c r="C186" i="8" s="1"/>
  <c r="F167" i="8"/>
  <c r="B180" i="8"/>
  <c r="B179" i="8"/>
  <c r="D167" i="8" s="1"/>
  <c r="G167" i="8" s="1"/>
  <c r="B178" i="8"/>
  <c r="C174" i="8" s="1"/>
  <c r="B156" i="8"/>
  <c r="B157" i="8" s="1"/>
  <c r="C146" i="8"/>
  <c r="B146" i="8"/>
  <c r="C139" i="8"/>
  <c r="B139" i="8"/>
  <c r="D131" i="8"/>
  <c r="C128" i="8"/>
  <c r="C129" i="8" s="1"/>
  <c r="B128" i="8"/>
  <c r="B129" i="8" s="1"/>
  <c r="B70" i="8"/>
  <c r="B64" i="8"/>
  <c r="B58" i="8"/>
  <c r="B57" i="8"/>
  <c r="B56" i="8"/>
  <c r="D34" i="8"/>
  <c r="B46" i="8"/>
  <c r="B45" i="8"/>
  <c r="B44" i="8"/>
  <c r="C36" i="8" s="1"/>
  <c r="F19" i="8"/>
  <c r="B14" i="8"/>
  <c r="B13" i="8"/>
  <c r="B12" i="8"/>
  <c r="C7" i="8" s="1"/>
  <c r="B29" i="8"/>
  <c r="B28" i="8"/>
  <c r="B27" i="8"/>
  <c r="C20" i="8" s="1"/>
  <c r="D4" i="8"/>
  <c r="C5" i="8"/>
  <c r="C8" i="8"/>
  <c r="C605" i="4"/>
  <c r="C607" i="4" s="1"/>
  <c r="B605" i="4"/>
  <c r="B607" i="4" s="1"/>
  <c r="B596" i="4"/>
  <c r="C591" i="4" s="1"/>
  <c r="B548" i="4"/>
  <c r="C550" i="4" s="1"/>
  <c r="B552" i="4"/>
  <c r="C554" i="4" s="1"/>
  <c r="B556" i="4"/>
  <c r="C558" i="4" s="1"/>
  <c r="B560" i="4"/>
  <c r="C562" i="4" s="1"/>
  <c r="B564" i="4"/>
  <c r="C566" i="4" s="1"/>
  <c r="B568" i="4"/>
  <c r="C570" i="4" s="1"/>
  <c r="B572" i="4"/>
  <c r="C574" i="4" s="1"/>
  <c r="B576" i="4"/>
  <c r="C578" i="4" s="1"/>
  <c r="B580" i="4"/>
  <c r="C582" i="4" s="1"/>
  <c r="B584" i="4"/>
  <c r="C586" i="4" s="1"/>
  <c r="B544" i="4"/>
  <c r="C546" i="4" s="1"/>
  <c r="C531" i="4"/>
  <c r="C534" i="4"/>
  <c r="C536" i="4"/>
  <c r="B536" i="4"/>
  <c r="B534" i="4"/>
  <c r="B531" i="4"/>
  <c r="C524" i="4"/>
  <c r="B524" i="4"/>
  <c r="C522" i="4"/>
  <c r="B522" i="4"/>
  <c r="C519" i="4"/>
  <c r="B519" i="4"/>
  <c r="C511" i="4"/>
  <c r="B511" i="4"/>
  <c r="C508" i="4"/>
  <c r="C512" i="4"/>
  <c r="B508" i="4"/>
  <c r="B512" i="4"/>
  <c r="C495" i="4"/>
  <c r="C498" i="4"/>
  <c r="C500" i="4"/>
  <c r="B500" i="4"/>
  <c r="B498" i="4"/>
  <c r="B495" i="4"/>
  <c r="C483" i="4"/>
  <c r="C488" i="4"/>
  <c r="C486" i="4"/>
  <c r="B486" i="4"/>
  <c r="B483" i="4"/>
  <c r="B488" i="4"/>
  <c r="B476" i="4"/>
  <c r="B477" i="4" s="1"/>
  <c r="B478" i="4" s="1"/>
  <c r="B479" i="4" s="1"/>
  <c r="A466" i="4"/>
  <c r="A467" i="4" s="1"/>
  <c r="A468" i="4" s="1"/>
  <c r="B428" i="4"/>
  <c r="A430" i="4" s="1"/>
  <c r="B448" i="4"/>
  <c r="B451" i="4" s="1"/>
  <c r="A454" i="4" s="1"/>
  <c r="B435" i="4"/>
  <c r="B438" i="4" s="1"/>
  <c r="B418" i="4"/>
  <c r="A420" i="4" s="1"/>
  <c r="B408" i="4"/>
  <c r="A410" i="4" s="1"/>
  <c r="A411" i="4" s="1"/>
  <c r="C400" i="4"/>
  <c r="B400" i="4"/>
  <c r="A400" i="4"/>
  <c r="B397" i="4"/>
  <c r="B389" i="4"/>
  <c r="B390" i="4" s="1"/>
  <c r="C390" i="4" s="1"/>
  <c r="D390" i="4" s="1"/>
  <c r="AA385" i="4"/>
  <c r="AA386" i="4" s="1"/>
  <c r="AA387" i="4" s="1"/>
  <c r="AB385" i="4"/>
  <c r="AB386" i="4" s="1"/>
  <c r="AB387" i="4" s="1"/>
  <c r="AC385" i="4"/>
  <c r="AC386" i="4" s="1"/>
  <c r="AC387" i="4" s="1"/>
  <c r="AD385" i="4"/>
  <c r="AD386" i="4" s="1"/>
  <c r="AD387" i="4" s="1"/>
  <c r="AE385" i="4"/>
  <c r="AE386" i="4" s="1"/>
  <c r="AE387" i="4" s="1"/>
  <c r="AF385" i="4"/>
  <c r="AF386" i="4" s="1"/>
  <c r="AF387" i="4" s="1"/>
  <c r="C382" i="4"/>
  <c r="C385" i="4" s="1"/>
  <c r="C386" i="4" s="1"/>
  <c r="C387" i="4" s="1"/>
  <c r="D382" i="4"/>
  <c r="D385" i="4" s="1"/>
  <c r="D386" i="4" s="1"/>
  <c r="D387" i="4" s="1"/>
  <c r="E382" i="4"/>
  <c r="E385" i="4" s="1"/>
  <c r="E386" i="4" s="1"/>
  <c r="E387" i="4" s="1"/>
  <c r="F382" i="4"/>
  <c r="F385" i="4" s="1"/>
  <c r="F386" i="4" s="1"/>
  <c r="F387" i="4" s="1"/>
  <c r="G382" i="4"/>
  <c r="G385" i="4" s="1"/>
  <c r="G386" i="4" s="1"/>
  <c r="G387" i="4" s="1"/>
  <c r="H382" i="4"/>
  <c r="H385" i="4" s="1"/>
  <c r="H386" i="4" s="1"/>
  <c r="H387" i="4" s="1"/>
  <c r="I382" i="4"/>
  <c r="I385" i="4" s="1"/>
  <c r="I386" i="4" s="1"/>
  <c r="I387" i="4" s="1"/>
  <c r="J382" i="4"/>
  <c r="J385" i="4" s="1"/>
  <c r="J386" i="4" s="1"/>
  <c r="J387" i="4" s="1"/>
  <c r="K382" i="4"/>
  <c r="K385" i="4" s="1"/>
  <c r="K386" i="4" s="1"/>
  <c r="K387" i="4" s="1"/>
  <c r="L382" i="4"/>
  <c r="L385" i="4" s="1"/>
  <c r="L386" i="4" s="1"/>
  <c r="L387" i="4" s="1"/>
  <c r="M382" i="4"/>
  <c r="M385" i="4" s="1"/>
  <c r="M386" i="4" s="1"/>
  <c r="M387" i="4" s="1"/>
  <c r="N382" i="4"/>
  <c r="N385" i="4" s="1"/>
  <c r="N386" i="4" s="1"/>
  <c r="N387" i="4" s="1"/>
  <c r="O382" i="4"/>
  <c r="O385" i="4" s="1"/>
  <c r="O386" i="4" s="1"/>
  <c r="O387" i="4" s="1"/>
  <c r="P382" i="4"/>
  <c r="P385" i="4" s="1"/>
  <c r="P386" i="4" s="1"/>
  <c r="P387" i="4" s="1"/>
  <c r="Q382" i="4"/>
  <c r="Q385" i="4" s="1"/>
  <c r="Q386" i="4" s="1"/>
  <c r="Q387" i="4" s="1"/>
  <c r="R382" i="4"/>
  <c r="R385" i="4" s="1"/>
  <c r="R386" i="4" s="1"/>
  <c r="R387" i="4" s="1"/>
  <c r="S382" i="4"/>
  <c r="S385" i="4" s="1"/>
  <c r="S386" i="4" s="1"/>
  <c r="S387" i="4" s="1"/>
  <c r="T382" i="4"/>
  <c r="T385" i="4" s="1"/>
  <c r="T386" i="4" s="1"/>
  <c r="T387" i="4" s="1"/>
  <c r="U382" i="4"/>
  <c r="U385" i="4" s="1"/>
  <c r="U386" i="4" s="1"/>
  <c r="U387" i="4" s="1"/>
  <c r="V382" i="4"/>
  <c r="V385" i="4" s="1"/>
  <c r="V386" i="4" s="1"/>
  <c r="V387" i="4" s="1"/>
  <c r="W382" i="4"/>
  <c r="W385" i="4" s="1"/>
  <c r="W386" i="4" s="1"/>
  <c r="W387" i="4" s="1"/>
  <c r="X382" i="4"/>
  <c r="X385" i="4" s="1"/>
  <c r="X386" i="4" s="1"/>
  <c r="X387" i="4" s="1"/>
  <c r="Y382" i="4"/>
  <c r="Y385" i="4" s="1"/>
  <c r="Y386" i="4" s="1"/>
  <c r="Y387" i="4" s="1"/>
  <c r="Z382" i="4"/>
  <c r="Z385" i="4" s="1"/>
  <c r="Z386" i="4" s="1"/>
  <c r="Z387" i="4" s="1"/>
  <c r="B382" i="4"/>
  <c r="B385" i="4" s="1"/>
  <c r="C375" i="4"/>
  <c r="D375" i="4"/>
  <c r="E375" i="4"/>
  <c r="F375" i="4"/>
  <c r="G375" i="4"/>
  <c r="H375" i="4"/>
  <c r="I375" i="4"/>
  <c r="J375" i="4"/>
  <c r="K375" i="4"/>
  <c r="L375" i="4"/>
  <c r="B375" i="4"/>
  <c r="B364" i="4"/>
  <c r="A367" i="4" s="1"/>
  <c r="B351" i="4"/>
  <c r="A354" i="4" s="1"/>
  <c r="B338" i="4"/>
  <c r="A341" i="4" s="1"/>
  <c r="B326" i="4"/>
  <c r="B329" i="4" s="1"/>
  <c r="B313" i="4"/>
  <c r="A316" i="4" s="1"/>
  <c r="A305" i="4"/>
  <c r="B302" i="4"/>
  <c r="C305" i="4" s="1"/>
  <c r="B305" i="4" s="1"/>
  <c r="A294" i="4"/>
  <c r="B291" i="4"/>
  <c r="C294" i="4" s="1"/>
  <c r="B294" i="4" s="1"/>
  <c r="A283" i="4"/>
  <c r="B280" i="4"/>
  <c r="C283" i="4" s="1"/>
  <c r="B283" i="4" s="1"/>
  <c r="B267" i="4"/>
  <c r="E271" i="4" s="1"/>
  <c r="E272" i="4" s="1"/>
  <c r="B254" i="4"/>
  <c r="C258" i="4" s="1"/>
  <c r="C259" i="4" s="1"/>
  <c r="B242" i="4"/>
  <c r="D246" i="4" s="1"/>
  <c r="D247" i="4" s="1"/>
  <c r="C227" i="4"/>
  <c r="D227" i="4"/>
  <c r="E227" i="4"/>
  <c r="F227" i="4"/>
  <c r="B227" i="4"/>
  <c r="F213" i="4"/>
  <c r="F212" i="4"/>
  <c r="D213" i="4"/>
  <c r="B207" i="4"/>
  <c r="B206" i="4"/>
  <c r="B205" i="4"/>
  <c r="C203" i="4" s="1"/>
  <c r="B204" i="4"/>
  <c r="F196" i="4"/>
  <c r="D180" i="4"/>
  <c r="B196" i="4"/>
  <c r="B181" i="4"/>
  <c r="B180" i="4"/>
  <c r="B179" i="4"/>
  <c r="C174" i="4" s="1"/>
  <c r="B178" i="4"/>
  <c r="B164" i="4"/>
  <c r="B165" i="4" s="1"/>
  <c r="B166" i="4" s="1"/>
  <c r="B122" i="4"/>
  <c r="B153" i="4"/>
  <c r="W28" i="6"/>
  <c r="B144" i="4"/>
  <c r="A150" i="4" s="1"/>
  <c r="A151" i="4" s="1"/>
  <c r="C108" i="4"/>
  <c r="B108" i="4"/>
  <c r="C114" i="4" s="1"/>
  <c r="B94" i="4"/>
  <c r="A99" i="4" s="1"/>
  <c r="C80" i="4"/>
  <c r="G86" i="4" s="1"/>
  <c r="G87" i="4" s="1"/>
  <c r="E90" i="21" l="1"/>
  <c r="E96" i="21"/>
  <c r="E99" i="21"/>
  <c r="E100" i="21"/>
  <c r="K48" i="21"/>
  <c r="J48" i="21"/>
  <c r="I58" i="21"/>
  <c r="K53" i="21"/>
  <c r="J53" i="21"/>
  <c r="C148" i="8"/>
  <c r="C1604" i="14"/>
  <c r="C1605" i="14" s="1"/>
  <c r="K54" i="21"/>
  <c r="J54" i="21"/>
  <c r="E93" i="21"/>
  <c r="F93" i="21"/>
  <c r="J55" i="21"/>
  <c r="K55" i="21"/>
  <c r="E92" i="21"/>
  <c r="K49" i="21"/>
  <c r="J49" i="21"/>
  <c r="K56" i="21"/>
  <c r="J56" i="21"/>
  <c r="H819" i="14"/>
  <c r="H929" i="14"/>
  <c r="K50" i="21"/>
  <c r="J50" i="21"/>
  <c r="K51" i="21"/>
  <c r="J51" i="21"/>
  <c r="K52" i="21"/>
  <c r="J52" i="21"/>
  <c r="F95" i="21"/>
  <c r="E95" i="21"/>
  <c r="F97" i="21"/>
  <c r="E97" i="21"/>
  <c r="F98" i="21"/>
  <c r="E98" i="21"/>
  <c r="D102" i="21"/>
  <c r="C226" i="8"/>
  <c r="E1525" i="14"/>
  <c r="C405" i="14"/>
  <c r="C1527" i="14"/>
  <c r="C1528" i="14" s="1"/>
  <c r="B147" i="8"/>
  <c r="E1602" i="14"/>
  <c r="D1628" i="14"/>
  <c r="H1599" i="14"/>
  <c r="H1596" i="14"/>
  <c r="C195" i="8"/>
  <c r="C194" i="8"/>
  <c r="F1630" i="14"/>
  <c r="D130" i="8"/>
  <c r="D132" i="8" s="1"/>
  <c r="C172" i="8"/>
  <c r="C192" i="8"/>
  <c r="C191" i="8"/>
  <c r="C6" i="8"/>
  <c r="C193" i="8"/>
  <c r="C170" i="8"/>
  <c r="C169" i="8"/>
  <c r="C190" i="8"/>
  <c r="C11" i="8"/>
  <c r="C189" i="8"/>
  <c r="C9" i="8"/>
  <c r="B140" i="8"/>
  <c r="D136" i="8" s="1"/>
  <c r="C188" i="8"/>
  <c r="L161" i="19"/>
  <c r="E171" i="19" s="1"/>
  <c r="C179" i="19" s="1"/>
  <c r="H402" i="14"/>
  <c r="K42" i="19"/>
  <c r="E49" i="19" s="1"/>
  <c r="H82" i="14"/>
  <c r="C1602" i="14"/>
  <c r="F540" i="1"/>
  <c r="G539" i="1"/>
  <c r="C1525" i="14"/>
  <c r="H78" i="14"/>
  <c r="H1521" i="14"/>
  <c r="C173" i="8"/>
  <c r="C171" i="8"/>
  <c r="H1524" i="14"/>
  <c r="H1519" i="14"/>
  <c r="H161" i="19"/>
  <c r="E165" i="19" s="1"/>
  <c r="H1523" i="14"/>
  <c r="O42" i="19"/>
  <c r="E52" i="19" s="1"/>
  <c r="E1604" i="14"/>
  <c r="E1605" i="14" s="1"/>
  <c r="H88" i="14"/>
  <c r="C177" i="19"/>
  <c r="E177" i="19" s="1"/>
  <c r="H176" i="14"/>
  <c r="H1522" i="14"/>
  <c r="H1595" i="14"/>
  <c r="C168" i="8"/>
  <c r="C177" i="8"/>
  <c r="J42" i="19"/>
  <c r="H936" i="14"/>
  <c r="H1517" i="14"/>
  <c r="H1592" i="14"/>
  <c r="C176" i="8"/>
  <c r="C175" i="8"/>
  <c r="E167" i="8"/>
  <c r="H932" i="14"/>
  <c r="H436" i="14"/>
  <c r="H429" i="14"/>
  <c r="H1518" i="14"/>
  <c r="H428" i="14"/>
  <c r="H1115" i="14"/>
  <c r="E407" i="14"/>
  <c r="E408" i="14" s="1"/>
  <c r="C407" i="14"/>
  <c r="C408" i="14" s="1"/>
  <c r="E1527" i="14"/>
  <c r="E1528" i="14" s="1"/>
  <c r="H403" i="14"/>
  <c r="H398" i="14"/>
  <c r="E405" i="14"/>
  <c r="H427" i="14"/>
  <c r="H425" i="14"/>
  <c r="H399" i="14"/>
  <c r="H430" i="14"/>
  <c r="H400" i="14"/>
  <c r="H404" i="14"/>
  <c r="H426" i="14"/>
  <c r="H431" i="14"/>
  <c r="H401" i="14"/>
  <c r="H397" i="14"/>
  <c r="H1114" i="14"/>
  <c r="E1219" i="14"/>
  <c r="E1220" i="14" s="1"/>
  <c r="C1219" i="14"/>
  <c r="C1220" i="14" s="1"/>
  <c r="C1217" i="14"/>
  <c r="H1111" i="14"/>
  <c r="E1217" i="14"/>
  <c r="D1256" i="14" s="1"/>
  <c r="H1212" i="14"/>
  <c r="C1118" i="14"/>
  <c r="C1119" i="14" s="1"/>
  <c r="H1213" i="14"/>
  <c r="H1209" i="14"/>
  <c r="H1216" i="14"/>
  <c r="H1214" i="14"/>
  <c r="H1210" i="14"/>
  <c r="H1215" i="14"/>
  <c r="H1211" i="14"/>
  <c r="H1022" i="14"/>
  <c r="H1025" i="14"/>
  <c r="H1032" i="14"/>
  <c r="C1116" i="14"/>
  <c r="E1118" i="14"/>
  <c r="E1119" i="14" s="1"/>
  <c r="E1116" i="14"/>
  <c r="D1135" i="14" s="1"/>
  <c r="H1112" i="14"/>
  <c r="H1028" i="14"/>
  <c r="H1031" i="14"/>
  <c r="C1035" i="14"/>
  <c r="C1036" i="14" s="1"/>
  <c r="H1029" i="14"/>
  <c r="E1035" i="14"/>
  <c r="E1036" i="14" s="1"/>
  <c r="E1033" i="14"/>
  <c r="D1069" i="14" s="1"/>
  <c r="H1023" i="14"/>
  <c r="H1026" i="14"/>
  <c r="H1024" i="14"/>
  <c r="H1027" i="14"/>
  <c r="H1030" i="14"/>
  <c r="C1033" i="14"/>
  <c r="H935" i="14"/>
  <c r="H934" i="14"/>
  <c r="H933" i="14"/>
  <c r="H818" i="14"/>
  <c r="C939" i="14"/>
  <c r="C940" i="14" s="1"/>
  <c r="H930" i="14"/>
  <c r="H77" i="14"/>
  <c r="H170" i="14"/>
  <c r="H43" i="14"/>
  <c r="H434" i="14"/>
  <c r="H52" i="14"/>
  <c r="H566" i="14"/>
  <c r="H822" i="14"/>
  <c r="H814" i="14"/>
  <c r="E939" i="14"/>
  <c r="E940" i="14" s="1"/>
  <c r="E937" i="14"/>
  <c r="D956" i="14" s="1"/>
  <c r="C937" i="14"/>
  <c r="H90" i="14"/>
  <c r="H820" i="14"/>
  <c r="H812" i="14"/>
  <c r="H817" i="14"/>
  <c r="H931" i="14"/>
  <c r="H79" i="14"/>
  <c r="H177" i="14"/>
  <c r="H497" i="14"/>
  <c r="H565" i="14"/>
  <c r="H29" i="14"/>
  <c r="H91" i="14"/>
  <c r="H499" i="14"/>
  <c r="E825" i="14"/>
  <c r="D843" i="14" s="1"/>
  <c r="H561" i="14"/>
  <c r="H821" i="14"/>
  <c r="C827" i="14"/>
  <c r="C828" i="14" s="1"/>
  <c r="H813" i="14"/>
  <c r="H816" i="14"/>
  <c r="E568" i="14"/>
  <c r="E827" i="14"/>
  <c r="E828" i="14" s="1"/>
  <c r="C825" i="14"/>
  <c r="H92" i="14"/>
  <c r="H86" i="14"/>
  <c r="H54" i="14"/>
  <c r="H563" i="14"/>
  <c r="H823" i="14"/>
  <c r="H815" i="14"/>
  <c r="H21" i="14"/>
  <c r="H22" i="14"/>
  <c r="H89" i="14"/>
  <c r="H50" i="14"/>
  <c r="H435" i="14"/>
  <c r="H42" i="14"/>
  <c r="H48" i="14"/>
  <c r="H175" i="14"/>
  <c r="E570" i="14"/>
  <c r="E571" i="14" s="1"/>
  <c r="C570" i="14"/>
  <c r="C571" i="14" s="1"/>
  <c r="H560" i="14"/>
  <c r="H564" i="14"/>
  <c r="C568" i="14"/>
  <c r="H567" i="14"/>
  <c r="H46" i="14"/>
  <c r="H51" i="14"/>
  <c r="E502" i="14"/>
  <c r="E503" i="14" s="1"/>
  <c r="H490" i="14"/>
  <c r="H498" i="14"/>
  <c r="H494" i="14"/>
  <c r="E500" i="14"/>
  <c r="H492" i="14"/>
  <c r="H495" i="14"/>
  <c r="H496" i="14"/>
  <c r="H26" i="14"/>
  <c r="H45" i="14"/>
  <c r="H24" i="14"/>
  <c r="H47" i="14"/>
  <c r="H433" i="14"/>
  <c r="H49" i="14"/>
  <c r="H489" i="14"/>
  <c r="H491" i="14"/>
  <c r="H83" i="14"/>
  <c r="H87" i="14"/>
  <c r="H171" i="14"/>
  <c r="H432" i="14"/>
  <c r="H44" i="14"/>
  <c r="E94" i="14"/>
  <c r="H247" i="14"/>
  <c r="H240" i="14"/>
  <c r="H248" i="14"/>
  <c r="H81" i="14"/>
  <c r="H237" i="14"/>
  <c r="H84" i="14"/>
  <c r="C96" i="14"/>
  <c r="C97" i="14" s="1"/>
  <c r="H235" i="14"/>
  <c r="E438" i="14"/>
  <c r="H27" i="14"/>
  <c r="E179" i="14"/>
  <c r="E180" i="14" s="1"/>
  <c r="H233" i="14"/>
  <c r="H242" i="14"/>
  <c r="G14" i="14"/>
  <c r="C179" i="14"/>
  <c r="C250" i="14"/>
  <c r="H234" i="14"/>
  <c r="C94" i="14"/>
  <c r="C252" i="14"/>
  <c r="C253" i="14" s="1"/>
  <c r="H238" i="14"/>
  <c r="H244" i="14"/>
  <c r="H437" i="14"/>
  <c r="H53" i="14"/>
  <c r="C55" i="14"/>
  <c r="C57" i="14"/>
  <c r="C58" i="14" s="1"/>
  <c r="E252" i="14"/>
  <c r="E253" i="14" s="1"/>
  <c r="H30" i="14"/>
  <c r="C33" i="14"/>
  <c r="C34" i="14" s="1"/>
  <c r="H85" i="14"/>
  <c r="H241" i="14"/>
  <c r="H236" i="14"/>
  <c r="H246" i="14"/>
  <c r="C440" i="14"/>
  <c r="C441" i="14" s="1"/>
  <c r="E440" i="14"/>
  <c r="E441" i="14" s="1"/>
  <c r="E55" i="14"/>
  <c r="E57" i="14"/>
  <c r="E58" i="14" s="1"/>
  <c r="E33" i="14"/>
  <c r="E34" i="14" s="1"/>
  <c r="H28" i="14"/>
  <c r="E250" i="14"/>
  <c r="H239" i="14"/>
  <c r="H245" i="14"/>
  <c r="H243" i="14"/>
  <c r="C438" i="14"/>
  <c r="L101" i="19"/>
  <c r="E111" i="19" s="1"/>
  <c r="C119" i="19" s="1"/>
  <c r="H9" i="19"/>
  <c r="E13" i="19" s="1"/>
  <c r="C26" i="19" s="1"/>
  <c r="E26" i="19" s="1"/>
  <c r="K53" i="19"/>
  <c r="C58" i="19"/>
  <c r="E58" i="19" s="1"/>
  <c r="I101" i="19"/>
  <c r="E108" i="19" s="1"/>
  <c r="H101" i="19"/>
  <c r="E105" i="19" s="1"/>
  <c r="C118" i="19" s="1"/>
  <c r="E118" i="19" s="1"/>
  <c r="I9" i="19"/>
  <c r="E16" i="19" s="1"/>
  <c r="L9" i="19"/>
  <c r="E19" i="19" s="1"/>
  <c r="C27" i="19" s="1"/>
  <c r="E46" i="19"/>
  <c r="C60" i="19"/>
  <c r="E96" i="14"/>
  <c r="E97" i="14" s="1"/>
  <c r="E10" i="14"/>
  <c r="H10" i="14"/>
  <c r="E3" i="14"/>
  <c r="H3" i="14"/>
  <c r="H12" i="14"/>
  <c r="E6" i="14"/>
  <c r="H6" i="14"/>
  <c r="E9" i="14"/>
  <c r="H9" i="14"/>
  <c r="E11" i="14"/>
  <c r="H11" i="14"/>
  <c r="E5" i="14"/>
  <c r="H5" i="14"/>
  <c r="H8" i="14"/>
  <c r="E8" i="14"/>
  <c r="E7" i="14"/>
  <c r="H7" i="14"/>
  <c r="H22" i="12"/>
  <c r="H26" i="12" s="1"/>
  <c r="E737" i="11"/>
  <c r="E744" i="11"/>
  <c r="E742" i="11"/>
  <c r="E741" i="11"/>
  <c r="E743" i="11"/>
  <c r="E740" i="11"/>
  <c r="E739" i="11"/>
  <c r="E763" i="11"/>
  <c r="E765" i="11"/>
  <c r="E767" i="11"/>
  <c r="E764" i="11"/>
  <c r="E762" i="11"/>
  <c r="F549" i="11"/>
  <c r="F550" i="11" s="1"/>
  <c r="F576" i="11"/>
  <c r="B954" i="9"/>
  <c r="C954" i="9"/>
  <c r="C553" i="9"/>
  <c r="B553" i="9"/>
  <c r="E847" i="9"/>
  <c r="C904" i="9"/>
  <c r="C905" i="9" s="1"/>
  <c r="E816" i="9"/>
  <c r="E825" i="9"/>
  <c r="E843" i="9"/>
  <c r="E841" i="9"/>
  <c r="G874" i="9"/>
  <c r="G875" i="9" s="1"/>
  <c r="C876" i="9"/>
  <c r="C877" i="9" s="1"/>
  <c r="E822" i="9"/>
  <c r="E823" i="9"/>
  <c r="E850" i="9"/>
  <c r="E849" i="9"/>
  <c r="G902" i="9"/>
  <c r="G903" i="9" s="1"/>
  <c r="E846" i="9"/>
  <c r="E817" i="9"/>
  <c r="E824" i="9"/>
  <c r="E848" i="9"/>
  <c r="E845" i="9"/>
  <c r="E842" i="9"/>
  <c r="E814" i="9"/>
  <c r="E819" i="9"/>
  <c r="E815" i="9"/>
  <c r="E821" i="9"/>
  <c r="E818" i="9"/>
  <c r="C747" i="9"/>
  <c r="E690" i="9"/>
  <c r="F690" i="9"/>
  <c r="F717" i="9"/>
  <c r="E702" i="9"/>
  <c r="F702" i="9"/>
  <c r="D586" i="9"/>
  <c r="D588" i="9" s="1"/>
  <c r="E516" i="9"/>
  <c r="B519" i="9" s="1"/>
  <c r="D521" i="9" s="1"/>
  <c r="D483" i="9"/>
  <c r="C537" i="9"/>
  <c r="B537" i="9"/>
  <c r="B483" i="9"/>
  <c r="E497" i="9"/>
  <c r="B500" i="9" s="1"/>
  <c r="D502" i="9" s="1"/>
  <c r="C606" i="9"/>
  <c r="B606" i="9"/>
  <c r="C569" i="9"/>
  <c r="C320" i="9"/>
  <c r="B434" i="9"/>
  <c r="D396" i="9"/>
  <c r="E395" i="9" s="1"/>
  <c r="D419" i="9"/>
  <c r="C346" i="9"/>
  <c r="D434" i="9"/>
  <c r="B419" i="9"/>
  <c r="D370" i="9"/>
  <c r="E360" i="9" s="1"/>
  <c r="B449" i="9"/>
  <c r="C333" i="9"/>
  <c r="B464" i="9"/>
  <c r="D464" i="9"/>
  <c r="D449" i="9"/>
  <c r="B328" i="9"/>
  <c r="C334" i="9"/>
  <c r="C336" i="9"/>
  <c r="C338" i="9"/>
  <c r="C337" i="9"/>
  <c r="C339" i="9"/>
  <c r="C335" i="9"/>
  <c r="C340" i="9"/>
  <c r="B305" i="9"/>
  <c r="B296" i="9"/>
  <c r="E282" i="9"/>
  <c r="B289" i="9"/>
  <c r="B290" i="9" s="1"/>
  <c r="E278" i="9"/>
  <c r="E275" i="9"/>
  <c r="E277" i="9"/>
  <c r="E281" i="9"/>
  <c r="E280" i="9"/>
  <c r="E284" i="9"/>
  <c r="B232" i="9"/>
  <c r="E276" i="9"/>
  <c r="E279" i="9"/>
  <c r="E283" i="9"/>
  <c r="F261" i="9"/>
  <c r="F264" i="9"/>
  <c r="F263" i="9"/>
  <c r="F260" i="9"/>
  <c r="F262" i="9"/>
  <c r="F266" i="9"/>
  <c r="F265" i="9"/>
  <c r="B248" i="9"/>
  <c r="B249" i="9" s="1"/>
  <c r="B250" i="9" s="1"/>
  <c r="D197" i="9"/>
  <c r="B221" i="9"/>
  <c r="B224" i="9" s="1"/>
  <c r="B238" i="9"/>
  <c r="D241" i="9" s="1"/>
  <c r="D232" i="9"/>
  <c r="B197" i="9"/>
  <c r="B205" i="9"/>
  <c r="D205" i="9"/>
  <c r="F184" i="9"/>
  <c r="F180" i="9"/>
  <c r="F185" i="9"/>
  <c r="F181" i="9"/>
  <c r="B178" i="9"/>
  <c r="F186" i="9"/>
  <c r="F182" i="9"/>
  <c r="F178" i="9"/>
  <c r="F183" i="9"/>
  <c r="A173" i="9"/>
  <c r="A174" i="9"/>
  <c r="B93" i="9"/>
  <c r="F123" i="9"/>
  <c r="F119" i="9"/>
  <c r="E138" i="9"/>
  <c r="E134" i="9"/>
  <c r="F124" i="9"/>
  <c r="F120" i="9"/>
  <c r="E139" i="9"/>
  <c r="E135" i="9"/>
  <c r="B131" i="9"/>
  <c r="G131" i="9" s="1"/>
  <c r="A151" i="9"/>
  <c r="F118" i="9"/>
  <c r="F121" i="9"/>
  <c r="E140" i="9"/>
  <c r="E136" i="9"/>
  <c r="E132" i="9"/>
  <c r="B147" i="9"/>
  <c r="A152" i="9" s="1"/>
  <c r="B54" i="9"/>
  <c r="F122" i="9"/>
  <c r="E131" i="9"/>
  <c r="E137" i="9"/>
  <c r="A164" i="9"/>
  <c r="A163" i="9"/>
  <c r="G118" i="9"/>
  <c r="G119" i="9"/>
  <c r="B114" i="9"/>
  <c r="B66" i="9"/>
  <c r="B76" i="9"/>
  <c r="C36" i="9"/>
  <c r="C32" i="9"/>
  <c r="C37" i="9"/>
  <c r="C33" i="9"/>
  <c r="C29" i="9"/>
  <c r="C34" i="9"/>
  <c r="C30" i="9"/>
  <c r="C35" i="9"/>
  <c r="B25" i="9"/>
  <c r="B19" i="9"/>
  <c r="B76" i="8"/>
  <c r="B75" i="8"/>
  <c r="C4" i="8"/>
  <c r="B74" i="8"/>
  <c r="C25" i="8"/>
  <c r="C26" i="8"/>
  <c r="C21" i="8"/>
  <c r="C19" i="8"/>
  <c r="C22" i="8"/>
  <c r="C23" i="8"/>
  <c r="C42" i="8"/>
  <c r="C38" i="8"/>
  <c r="C41" i="8"/>
  <c r="C37" i="8"/>
  <c r="C24" i="8"/>
  <c r="C43" i="8"/>
  <c r="C39" i="8"/>
  <c r="C35" i="8"/>
  <c r="C34" i="8"/>
  <c r="C40" i="8"/>
  <c r="C10" i="8"/>
  <c r="C547" i="4"/>
  <c r="C587" i="4"/>
  <c r="C583" i="4"/>
  <c r="C579" i="4"/>
  <c r="C575" i="4"/>
  <c r="C571" i="4"/>
  <c r="C567" i="4"/>
  <c r="C563" i="4"/>
  <c r="C559" i="4"/>
  <c r="C555" i="4"/>
  <c r="C551" i="4"/>
  <c r="C590" i="4"/>
  <c r="C592" i="4"/>
  <c r="C544" i="4"/>
  <c r="D544" i="4" s="1"/>
  <c r="C584" i="4"/>
  <c r="D584" i="4" s="1"/>
  <c r="C580" i="4"/>
  <c r="D580" i="4" s="1"/>
  <c r="C576" i="4"/>
  <c r="D576" i="4" s="1"/>
  <c r="C572" i="4"/>
  <c r="D572" i="4" s="1"/>
  <c r="C568" i="4"/>
  <c r="D568" i="4" s="1"/>
  <c r="C564" i="4"/>
  <c r="D564" i="4" s="1"/>
  <c r="C560" i="4"/>
  <c r="D560" i="4" s="1"/>
  <c r="C556" i="4"/>
  <c r="D556" i="4" s="1"/>
  <c r="C552" i="4"/>
  <c r="D552" i="4" s="1"/>
  <c r="C548" i="4"/>
  <c r="D548" i="4" s="1"/>
  <c r="C593" i="4"/>
  <c r="B608" i="4"/>
  <c r="B609" i="4" s="1"/>
  <c r="B610" i="4" s="1"/>
  <c r="C545" i="4"/>
  <c r="C585" i="4"/>
  <c r="C581" i="4"/>
  <c r="C577" i="4"/>
  <c r="C573" i="4"/>
  <c r="C569" i="4"/>
  <c r="C565" i="4"/>
  <c r="C561" i="4"/>
  <c r="C557" i="4"/>
  <c r="C553" i="4"/>
  <c r="C549" i="4"/>
  <c r="C594" i="4"/>
  <c r="C608" i="4"/>
  <c r="C609" i="4" s="1"/>
  <c r="C610" i="4" s="1"/>
  <c r="C595" i="4"/>
  <c r="B401" i="4"/>
  <c r="A401" i="4"/>
  <c r="C401" i="4"/>
  <c r="B489" i="4"/>
  <c r="B490" i="4" s="1"/>
  <c r="C489" i="4"/>
  <c r="C491" i="4" s="1"/>
  <c r="C537" i="4"/>
  <c r="C539" i="4" s="1"/>
  <c r="B537" i="4"/>
  <c r="B538" i="4" s="1"/>
  <c r="C525" i="4"/>
  <c r="C527" i="4" s="1"/>
  <c r="B525" i="4"/>
  <c r="B526" i="4" s="1"/>
  <c r="C513" i="4"/>
  <c r="C515" i="4" s="1"/>
  <c r="B513" i="4"/>
  <c r="B514" i="4" s="1"/>
  <c r="C501" i="4"/>
  <c r="C503" i="4" s="1"/>
  <c r="B501" i="4"/>
  <c r="B502" i="4" s="1"/>
  <c r="D455" i="4"/>
  <c r="C455" i="4"/>
  <c r="C456" i="4" s="1"/>
  <c r="B454" i="4"/>
  <c r="B455" i="4" s="1"/>
  <c r="B441" i="4"/>
  <c r="B442" i="4" s="1"/>
  <c r="A421" i="4"/>
  <c r="A431" i="4"/>
  <c r="A441" i="4"/>
  <c r="B316" i="4"/>
  <c r="B317" i="4" s="1"/>
  <c r="B386" i="4"/>
  <c r="B387" i="4" s="1"/>
  <c r="B367" i="4"/>
  <c r="B368" i="4" s="1"/>
  <c r="C367" i="4"/>
  <c r="C368" i="4" s="1"/>
  <c r="C342" i="4"/>
  <c r="C343" i="4" s="1"/>
  <c r="B341" i="4"/>
  <c r="B342" i="4" s="1"/>
  <c r="B354" i="4"/>
  <c r="B355" i="4" s="1"/>
  <c r="D355" i="4"/>
  <c r="D356" i="4" s="1"/>
  <c r="C355" i="4"/>
  <c r="C356" i="4" s="1"/>
  <c r="D342" i="4"/>
  <c r="D343" i="4" s="1"/>
  <c r="A329" i="4"/>
  <c r="A330" i="4" s="1"/>
  <c r="D294" i="4"/>
  <c r="D295" i="4" s="1"/>
  <c r="E317" i="4"/>
  <c r="E318" i="4" s="1"/>
  <c r="C245" i="4"/>
  <c r="C246" i="4" s="1"/>
  <c r="B330" i="4"/>
  <c r="B245" i="4"/>
  <c r="B246" i="4" s="1"/>
  <c r="A245" i="4"/>
  <c r="D283" i="4"/>
  <c r="D284" i="4" s="1"/>
  <c r="A270" i="4"/>
  <c r="A271" i="4" s="1"/>
  <c r="E246" i="4"/>
  <c r="E247" i="4" s="1"/>
  <c r="E248" i="4" s="1"/>
  <c r="D271" i="4"/>
  <c r="D272" i="4" s="1"/>
  <c r="E273" i="4" s="1"/>
  <c r="D305" i="4"/>
  <c r="D306" i="4" s="1"/>
  <c r="C316" i="4"/>
  <c r="C317" i="4" s="1"/>
  <c r="B270" i="4"/>
  <c r="B271" i="4" s="1"/>
  <c r="D317" i="4"/>
  <c r="D318" i="4" s="1"/>
  <c r="F215" i="4"/>
  <c r="A257" i="4"/>
  <c r="A258" i="4" s="1"/>
  <c r="B257" i="4"/>
  <c r="B258" i="4" s="1"/>
  <c r="D258" i="4"/>
  <c r="D259" i="4" s="1"/>
  <c r="D260" i="4" s="1"/>
  <c r="B99" i="4"/>
  <c r="B100" i="4" s="1"/>
  <c r="C201" i="4"/>
  <c r="C200" i="4"/>
  <c r="D189" i="4"/>
  <c r="E189" i="4" s="1"/>
  <c r="D195" i="4"/>
  <c r="E195" i="4" s="1"/>
  <c r="D191" i="4"/>
  <c r="E191" i="4" s="1"/>
  <c r="D187" i="4"/>
  <c r="E187" i="4" s="1"/>
  <c r="C202" i="4"/>
  <c r="D193" i="4"/>
  <c r="E193" i="4" s="1"/>
  <c r="D185" i="4"/>
  <c r="E185" i="4" s="1"/>
  <c r="D194" i="4"/>
  <c r="E194" i="4" s="1"/>
  <c r="D190" i="4"/>
  <c r="E190" i="4" s="1"/>
  <c r="D186" i="4"/>
  <c r="E186" i="4" s="1"/>
  <c r="D192" i="4"/>
  <c r="E192" i="4" s="1"/>
  <c r="D188" i="4"/>
  <c r="E188" i="4" s="1"/>
  <c r="C175" i="4"/>
  <c r="C176" i="4"/>
  <c r="D100" i="4"/>
  <c r="D101" i="4" s="1"/>
  <c r="C177" i="4"/>
  <c r="C173" i="4"/>
  <c r="C172" i="4"/>
  <c r="F86" i="4"/>
  <c r="F87" i="4" s="1"/>
  <c r="G88" i="4" s="1"/>
  <c r="E100" i="4"/>
  <c r="E101" i="4" s="1"/>
  <c r="C99" i="4"/>
  <c r="C100" i="4" s="1"/>
  <c r="B150" i="4"/>
  <c r="B151" i="4" s="1"/>
  <c r="B152" i="4" s="1"/>
  <c r="B113" i="4"/>
  <c r="B114" i="4" s="1"/>
  <c r="D114" i="4"/>
  <c r="D115" i="4" s="1"/>
  <c r="A113" i="4"/>
  <c r="A114" i="4" s="1"/>
  <c r="C115" i="4"/>
  <c r="B80" i="4"/>
  <c r="B66" i="4"/>
  <c r="C54" i="4"/>
  <c r="C55" i="4" s="1"/>
  <c r="B54" i="4"/>
  <c r="B55" i="4" s="1"/>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L503" i="5" s="1"/>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2" i="5"/>
  <c r="A402" i="5"/>
  <c r="E402" i="5" s="1"/>
  <c r="F402" i="5" s="1"/>
  <c r="A403" i="5"/>
  <c r="E403" i="5" s="1"/>
  <c r="F403" i="5" s="1"/>
  <c r="A404" i="5"/>
  <c r="E404" i="5" s="1"/>
  <c r="F404" i="5" s="1"/>
  <c r="A405" i="5"/>
  <c r="E405" i="5" s="1"/>
  <c r="F405" i="5" s="1"/>
  <c r="A406" i="5"/>
  <c r="E406" i="5" s="1"/>
  <c r="F406" i="5" s="1"/>
  <c r="A407" i="5"/>
  <c r="E407" i="5" s="1"/>
  <c r="F407" i="5" s="1"/>
  <c r="A408" i="5"/>
  <c r="E408" i="5" s="1"/>
  <c r="F408" i="5" s="1"/>
  <c r="A409" i="5"/>
  <c r="E409" i="5" s="1"/>
  <c r="F409" i="5" s="1"/>
  <c r="A410" i="5"/>
  <c r="E410" i="5" s="1"/>
  <c r="F410" i="5" s="1"/>
  <c r="A411" i="5"/>
  <c r="E411" i="5" s="1"/>
  <c r="F411" i="5" s="1"/>
  <c r="A412" i="5"/>
  <c r="E412" i="5" s="1"/>
  <c r="F412" i="5" s="1"/>
  <c r="A413" i="5"/>
  <c r="E413" i="5" s="1"/>
  <c r="F413" i="5" s="1"/>
  <c r="A414" i="5"/>
  <c r="E414" i="5" s="1"/>
  <c r="F414" i="5" s="1"/>
  <c r="A415" i="5"/>
  <c r="E415" i="5" s="1"/>
  <c r="F415" i="5" s="1"/>
  <c r="A416" i="5"/>
  <c r="E416" i="5" s="1"/>
  <c r="F416" i="5" s="1"/>
  <c r="A417" i="5"/>
  <c r="E417" i="5" s="1"/>
  <c r="F417" i="5" s="1"/>
  <c r="A418" i="5"/>
  <c r="E418" i="5" s="1"/>
  <c r="F418" i="5" s="1"/>
  <c r="A419" i="5"/>
  <c r="E419" i="5" s="1"/>
  <c r="F419" i="5" s="1"/>
  <c r="A420" i="5"/>
  <c r="E420" i="5" s="1"/>
  <c r="F420" i="5" s="1"/>
  <c r="A421" i="5"/>
  <c r="E421" i="5" s="1"/>
  <c r="F421" i="5" s="1"/>
  <c r="A422" i="5"/>
  <c r="E422" i="5" s="1"/>
  <c r="F422" i="5" s="1"/>
  <c r="A423" i="5"/>
  <c r="E423" i="5" s="1"/>
  <c r="F423" i="5" s="1"/>
  <c r="A424" i="5"/>
  <c r="E424" i="5" s="1"/>
  <c r="F424" i="5" s="1"/>
  <c r="A425" i="5"/>
  <c r="E425" i="5" s="1"/>
  <c r="F425" i="5" s="1"/>
  <c r="A426" i="5"/>
  <c r="E426" i="5" s="1"/>
  <c r="F426" i="5" s="1"/>
  <c r="A427" i="5"/>
  <c r="E427" i="5" s="1"/>
  <c r="F427" i="5" s="1"/>
  <c r="A428" i="5"/>
  <c r="E428" i="5" s="1"/>
  <c r="F428" i="5" s="1"/>
  <c r="A429" i="5"/>
  <c r="E429" i="5" s="1"/>
  <c r="F429" i="5" s="1"/>
  <c r="A430" i="5"/>
  <c r="E430" i="5" s="1"/>
  <c r="F430" i="5" s="1"/>
  <c r="A431" i="5"/>
  <c r="E431" i="5" s="1"/>
  <c r="F431" i="5" s="1"/>
  <c r="A432" i="5"/>
  <c r="E432" i="5" s="1"/>
  <c r="F432" i="5" s="1"/>
  <c r="A433" i="5"/>
  <c r="E433" i="5" s="1"/>
  <c r="F433" i="5" s="1"/>
  <c r="A434" i="5"/>
  <c r="E434" i="5" s="1"/>
  <c r="F434" i="5" s="1"/>
  <c r="A435" i="5"/>
  <c r="E435" i="5" s="1"/>
  <c r="F435" i="5" s="1"/>
  <c r="A436" i="5"/>
  <c r="E436" i="5" s="1"/>
  <c r="F436" i="5" s="1"/>
  <c r="A437" i="5"/>
  <c r="E437" i="5" s="1"/>
  <c r="F437" i="5" s="1"/>
  <c r="A438" i="5"/>
  <c r="E438" i="5" s="1"/>
  <c r="F438" i="5" s="1"/>
  <c r="A439" i="5"/>
  <c r="E439" i="5" s="1"/>
  <c r="F439" i="5" s="1"/>
  <c r="A440" i="5"/>
  <c r="E440" i="5" s="1"/>
  <c r="F440" i="5" s="1"/>
  <c r="A441" i="5"/>
  <c r="E441" i="5" s="1"/>
  <c r="F441" i="5" s="1"/>
  <c r="A442" i="5"/>
  <c r="E442" i="5" s="1"/>
  <c r="F442" i="5" s="1"/>
  <c r="A443" i="5"/>
  <c r="E443" i="5" s="1"/>
  <c r="F443" i="5" s="1"/>
  <c r="A444" i="5"/>
  <c r="E444" i="5" s="1"/>
  <c r="F444" i="5" s="1"/>
  <c r="A445" i="5"/>
  <c r="E445" i="5" s="1"/>
  <c r="F445" i="5" s="1"/>
  <c r="A446" i="5"/>
  <c r="E446" i="5" s="1"/>
  <c r="F446" i="5" s="1"/>
  <c r="A447" i="5"/>
  <c r="E447" i="5" s="1"/>
  <c r="F447" i="5" s="1"/>
  <c r="A448" i="5"/>
  <c r="E448" i="5" s="1"/>
  <c r="F448" i="5" s="1"/>
  <c r="A449" i="5"/>
  <c r="E449" i="5" s="1"/>
  <c r="F449" i="5" s="1"/>
  <c r="A450" i="5"/>
  <c r="E450" i="5" s="1"/>
  <c r="F450" i="5" s="1"/>
  <c r="A451" i="5"/>
  <c r="E451" i="5" s="1"/>
  <c r="F451" i="5" s="1"/>
  <c r="A452" i="5"/>
  <c r="E452" i="5" s="1"/>
  <c r="F452" i="5" s="1"/>
  <c r="A453" i="5"/>
  <c r="E453" i="5" s="1"/>
  <c r="F453" i="5" s="1"/>
  <c r="A454" i="5"/>
  <c r="E454" i="5" s="1"/>
  <c r="F454" i="5" s="1"/>
  <c r="A455" i="5"/>
  <c r="E455" i="5" s="1"/>
  <c r="F455" i="5" s="1"/>
  <c r="A456" i="5"/>
  <c r="E456" i="5" s="1"/>
  <c r="F456" i="5" s="1"/>
  <c r="A457" i="5"/>
  <c r="E457" i="5" s="1"/>
  <c r="F457" i="5" s="1"/>
  <c r="A458" i="5"/>
  <c r="E458" i="5" s="1"/>
  <c r="F458" i="5" s="1"/>
  <c r="A459" i="5"/>
  <c r="E459" i="5" s="1"/>
  <c r="F459" i="5" s="1"/>
  <c r="A460" i="5"/>
  <c r="E460" i="5" s="1"/>
  <c r="F460" i="5" s="1"/>
  <c r="A461" i="5"/>
  <c r="E461" i="5" s="1"/>
  <c r="F461" i="5" s="1"/>
  <c r="A462" i="5"/>
  <c r="E462" i="5" s="1"/>
  <c r="F462" i="5" s="1"/>
  <c r="A463" i="5"/>
  <c r="E463" i="5" s="1"/>
  <c r="F463" i="5" s="1"/>
  <c r="A464" i="5"/>
  <c r="E464" i="5" s="1"/>
  <c r="F464" i="5" s="1"/>
  <c r="A465" i="5"/>
  <c r="E465" i="5" s="1"/>
  <c r="F465" i="5" s="1"/>
  <c r="A466" i="5"/>
  <c r="E466" i="5" s="1"/>
  <c r="F466" i="5" s="1"/>
  <c r="A467" i="5"/>
  <c r="E467" i="5" s="1"/>
  <c r="F467" i="5" s="1"/>
  <c r="A468" i="5"/>
  <c r="E468" i="5" s="1"/>
  <c r="F468" i="5" s="1"/>
  <c r="A469" i="5"/>
  <c r="E469" i="5" s="1"/>
  <c r="F469" i="5" s="1"/>
  <c r="A470" i="5"/>
  <c r="E470" i="5" s="1"/>
  <c r="F470" i="5" s="1"/>
  <c r="A471" i="5"/>
  <c r="E471" i="5" s="1"/>
  <c r="F471" i="5" s="1"/>
  <c r="A472" i="5"/>
  <c r="E472" i="5" s="1"/>
  <c r="F472" i="5" s="1"/>
  <c r="A473" i="5"/>
  <c r="E473" i="5" s="1"/>
  <c r="F473" i="5" s="1"/>
  <c r="A474" i="5"/>
  <c r="E474" i="5" s="1"/>
  <c r="F474" i="5" s="1"/>
  <c r="A475" i="5"/>
  <c r="E475" i="5" s="1"/>
  <c r="F475" i="5" s="1"/>
  <c r="A476" i="5"/>
  <c r="E476" i="5" s="1"/>
  <c r="F476" i="5" s="1"/>
  <c r="A477" i="5"/>
  <c r="E477" i="5" s="1"/>
  <c r="F477" i="5" s="1"/>
  <c r="A478" i="5"/>
  <c r="E478" i="5" s="1"/>
  <c r="F478" i="5" s="1"/>
  <c r="A479" i="5"/>
  <c r="E479" i="5" s="1"/>
  <c r="F479" i="5" s="1"/>
  <c r="A480" i="5"/>
  <c r="E480" i="5" s="1"/>
  <c r="F480" i="5" s="1"/>
  <c r="A481" i="5"/>
  <c r="E481" i="5" s="1"/>
  <c r="F481" i="5" s="1"/>
  <c r="A482" i="5"/>
  <c r="E482" i="5" s="1"/>
  <c r="F482" i="5" s="1"/>
  <c r="A483" i="5"/>
  <c r="E483" i="5" s="1"/>
  <c r="F483" i="5" s="1"/>
  <c r="A484" i="5"/>
  <c r="E484" i="5" s="1"/>
  <c r="F484" i="5" s="1"/>
  <c r="A485" i="5"/>
  <c r="E485" i="5" s="1"/>
  <c r="F485" i="5" s="1"/>
  <c r="A486" i="5"/>
  <c r="E486" i="5" s="1"/>
  <c r="F486" i="5" s="1"/>
  <c r="A487" i="5"/>
  <c r="E487" i="5" s="1"/>
  <c r="F487" i="5" s="1"/>
  <c r="A488" i="5"/>
  <c r="E488" i="5" s="1"/>
  <c r="F488" i="5" s="1"/>
  <c r="A489" i="5"/>
  <c r="E489" i="5" s="1"/>
  <c r="F489" i="5" s="1"/>
  <c r="A490" i="5"/>
  <c r="E490" i="5" s="1"/>
  <c r="F490" i="5" s="1"/>
  <c r="A491" i="5"/>
  <c r="E491" i="5" s="1"/>
  <c r="F491" i="5" s="1"/>
  <c r="A492" i="5"/>
  <c r="E492" i="5" s="1"/>
  <c r="F492" i="5" s="1"/>
  <c r="A493" i="5"/>
  <c r="E493" i="5" s="1"/>
  <c r="F493" i="5" s="1"/>
  <c r="A494" i="5"/>
  <c r="E494" i="5" s="1"/>
  <c r="F494" i="5" s="1"/>
  <c r="A495" i="5"/>
  <c r="E495" i="5" s="1"/>
  <c r="F495" i="5" s="1"/>
  <c r="A496" i="5"/>
  <c r="E496" i="5" s="1"/>
  <c r="F496" i="5" s="1"/>
  <c r="A497" i="5"/>
  <c r="E497" i="5" s="1"/>
  <c r="F497" i="5" s="1"/>
  <c r="A498" i="5"/>
  <c r="E498" i="5" s="1"/>
  <c r="F498" i="5" s="1"/>
  <c r="A499" i="5"/>
  <c r="E499" i="5" s="1"/>
  <c r="F499" i="5" s="1"/>
  <c r="A500" i="5"/>
  <c r="E500" i="5" s="1"/>
  <c r="F500" i="5" s="1"/>
  <c r="A501" i="5"/>
  <c r="E501" i="5" s="1"/>
  <c r="F501" i="5" s="1"/>
  <c r="A502" i="5"/>
  <c r="E502" i="5" s="1"/>
  <c r="F502" i="5" s="1"/>
  <c r="A503" i="5"/>
  <c r="E503" i="5" s="1"/>
  <c r="F503" i="5" s="1"/>
  <c r="A504" i="5"/>
  <c r="E504" i="5" s="1"/>
  <c r="F504" i="5" s="1"/>
  <c r="A505" i="5"/>
  <c r="E505" i="5" s="1"/>
  <c r="F505" i="5" s="1"/>
  <c r="A506" i="5"/>
  <c r="E506" i="5" s="1"/>
  <c r="F506" i="5" s="1"/>
  <c r="A507" i="5"/>
  <c r="E507" i="5" s="1"/>
  <c r="F507" i="5" s="1"/>
  <c r="A508" i="5"/>
  <c r="E508" i="5" s="1"/>
  <c r="F508" i="5" s="1"/>
  <c r="A509" i="5"/>
  <c r="E509" i="5" s="1"/>
  <c r="F509" i="5" s="1"/>
  <c r="A510" i="5"/>
  <c r="E510" i="5" s="1"/>
  <c r="F510" i="5" s="1"/>
  <c r="A511" i="5"/>
  <c r="E511" i="5" s="1"/>
  <c r="F511" i="5" s="1"/>
  <c r="A512" i="5"/>
  <c r="E512" i="5" s="1"/>
  <c r="F512" i="5" s="1"/>
  <c r="A513" i="5"/>
  <c r="E513" i="5" s="1"/>
  <c r="F513" i="5" s="1"/>
  <c r="A514" i="5"/>
  <c r="E514" i="5" s="1"/>
  <c r="F514" i="5" s="1"/>
  <c r="A515" i="5"/>
  <c r="E515" i="5" s="1"/>
  <c r="F515" i="5" s="1"/>
  <c r="A516" i="5"/>
  <c r="E516" i="5" s="1"/>
  <c r="F516" i="5" s="1"/>
  <c r="A517" i="5"/>
  <c r="E517" i="5" s="1"/>
  <c r="F517" i="5" s="1"/>
  <c r="A518" i="5"/>
  <c r="E518" i="5" s="1"/>
  <c r="F518" i="5" s="1"/>
  <c r="A519" i="5"/>
  <c r="E519" i="5" s="1"/>
  <c r="F519" i="5" s="1"/>
  <c r="A520" i="5"/>
  <c r="E520" i="5" s="1"/>
  <c r="F520" i="5" s="1"/>
  <c r="A521" i="5"/>
  <c r="E521" i="5" s="1"/>
  <c r="F521" i="5" s="1"/>
  <c r="A522" i="5"/>
  <c r="E522" i="5" s="1"/>
  <c r="F522" i="5" s="1"/>
  <c r="A523" i="5"/>
  <c r="E523" i="5" s="1"/>
  <c r="F523" i="5" s="1"/>
  <c r="A524" i="5"/>
  <c r="E524" i="5" s="1"/>
  <c r="F524" i="5" s="1"/>
  <c r="A525" i="5"/>
  <c r="E525" i="5" s="1"/>
  <c r="F525" i="5" s="1"/>
  <c r="A526" i="5"/>
  <c r="E526" i="5" s="1"/>
  <c r="F526" i="5" s="1"/>
  <c r="A527" i="5"/>
  <c r="E527" i="5" s="1"/>
  <c r="F527" i="5" s="1"/>
  <c r="A528" i="5"/>
  <c r="E528" i="5" s="1"/>
  <c r="F528" i="5" s="1"/>
  <c r="A529" i="5"/>
  <c r="E529" i="5" s="1"/>
  <c r="F529" i="5" s="1"/>
  <c r="A530" i="5"/>
  <c r="E530" i="5" s="1"/>
  <c r="F530" i="5" s="1"/>
  <c r="A531" i="5"/>
  <c r="E531" i="5" s="1"/>
  <c r="F531" i="5" s="1"/>
  <c r="A532" i="5"/>
  <c r="E532" i="5" s="1"/>
  <c r="F532" i="5" s="1"/>
  <c r="A533" i="5"/>
  <c r="E533" i="5" s="1"/>
  <c r="F533" i="5" s="1"/>
  <c r="A534" i="5"/>
  <c r="E534" i="5" s="1"/>
  <c r="F534" i="5" s="1"/>
  <c r="A535" i="5"/>
  <c r="E535" i="5" s="1"/>
  <c r="F535" i="5" s="1"/>
  <c r="A536" i="5"/>
  <c r="E536" i="5" s="1"/>
  <c r="F536" i="5" s="1"/>
  <c r="A537" i="5"/>
  <c r="E537" i="5" s="1"/>
  <c r="F537" i="5" s="1"/>
  <c r="A538" i="5"/>
  <c r="E538" i="5" s="1"/>
  <c r="F538" i="5" s="1"/>
  <c r="A539" i="5"/>
  <c r="E539" i="5" s="1"/>
  <c r="F539" i="5" s="1"/>
  <c r="A540" i="5"/>
  <c r="E540" i="5" s="1"/>
  <c r="F540" i="5" s="1"/>
  <c r="A541" i="5"/>
  <c r="E541" i="5" s="1"/>
  <c r="F541" i="5" s="1"/>
  <c r="A542" i="5"/>
  <c r="E542" i="5" s="1"/>
  <c r="F542" i="5" s="1"/>
  <c r="A543" i="5"/>
  <c r="E543" i="5" s="1"/>
  <c r="F543" i="5" s="1"/>
  <c r="A544" i="5"/>
  <c r="E544" i="5" s="1"/>
  <c r="F544" i="5" s="1"/>
  <c r="A545" i="5"/>
  <c r="E545" i="5" s="1"/>
  <c r="F545" i="5" s="1"/>
  <c r="A546" i="5"/>
  <c r="E546" i="5" s="1"/>
  <c r="F546" i="5" s="1"/>
  <c r="A547" i="5"/>
  <c r="E547" i="5" s="1"/>
  <c r="F547" i="5" s="1"/>
  <c r="A548" i="5"/>
  <c r="E548" i="5" s="1"/>
  <c r="F548" i="5" s="1"/>
  <c r="A549" i="5"/>
  <c r="E549" i="5" s="1"/>
  <c r="F549" i="5" s="1"/>
  <c r="A550" i="5"/>
  <c r="E550" i="5" s="1"/>
  <c r="F550" i="5" s="1"/>
  <c r="A551" i="5"/>
  <c r="E551" i="5" s="1"/>
  <c r="F551" i="5" s="1"/>
  <c r="A552" i="5"/>
  <c r="E552" i="5" s="1"/>
  <c r="F552" i="5" s="1"/>
  <c r="A553" i="5"/>
  <c r="E553" i="5" s="1"/>
  <c r="F553" i="5" s="1"/>
  <c r="A554" i="5"/>
  <c r="E554" i="5" s="1"/>
  <c r="F554" i="5" s="1"/>
  <c r="A555" i="5"/>
  <c r="E555" i="5" s="1"/>
  <c r="F555" i="5" s="1"/>
  <c r="A556" i="5"/>
  <c r="E556" i="5" s="1"/>
  <c r="F556" i="5" s="1"/>
  <c r="A557" i="5"/>
  <c r="E557" i="5" s="1"/>
  <c r="F557" i="5" s="1"/>
  <c r="A558" i="5"/>
  <c r="E558" i="5" s="1"/>
  <c r="F558" i="5" s="1"/>
  <c r="A559" i="5"/>
  <c r="E559" i="5" s="1"/>
  <c r="F559" i="5" s="1"/>
  <c r="A560" i="5"/>
  <c r="E560" i="5" s="1"/>
  <c r="F560" i="5" s="1"/>
  <c r="A561" i="5"/>
  <c r="E561" i="5" s="1"/>
  <c r="F561" i="5" s="1"/>
  <c r="A562" i="5"/>
  <c r="E562" i="5" s="1"/>
  <c r="F562" i="5" s="1"/>
  <c r="A563" i="5"/>
  <c r="E563" i="5" s="1"/>
  <c r="F563" i="5" s="1"/>
  <c r="A564" i="5"/>
  <c r="E564" i="5" s="1"/>
  <c r="F564" i="5" s="1"/>
  <c r="A565" i="5"/>
  <c r="E565" i="5" s="1"/>
  <c r="F565" i="5" s="1"/>
  <c r="A566" i="5"/>
  <c r="E566" i="5" s="1"/>
  <c r="F566" i="5" s="1"/>
  <c r="A567" i="5"/>
  <c r="E567" i="5" s="1"/>
  <c r="F567" i="5" s="1"/>
  <c r="A568" i="5"/>
  <c r="E568" i="5" s="1"/>
  <c r="F568" i="5" s="1"/>
  <c r="A569" i="5"/>
  <c r="E569" i="5" s="1"/>
  <c r="F569" i="5" s="1"/>
  <c r="A570" i="5"/>
  <c r="E570" i="5" s="1"/>
  <c r="F570" i="5" s="1"/>
  <c r="A571" i="5"/>
  <c r="E571" i="5" s="1"/>
  <c r="F571" i="5" s="1"/>
  <c r="A572" i="5"/>
  <c r="E572" i="5" s="1"/>
  <c r="F572" i="5" s="1"/>
  <c r="A573" i="5"/>
  <c r="E573" i="5" s="1"/>
  <c r="F573" i="5" s="1"/>
  <c r="A574" i="5"/>
  <c r="E574" i="5" s="1"/>
  <c r="F574" i="5" s="1"/>
  <c r="A575" i="5"/>
  <c r="E575" i="5" s="1"/>
  <c r="F575" i="5" s="1"/>
  <c r="A576" i="5"/>
  <c r="E576" i="5" s="1"/>
  <c r="F576" i="5" s="1"/>
  <c r="A577" i="5"/>
  <c r="E577" i="5" s="1"/>
  <c r="F577" i="5" s="1"/>
  <c r="A578" i="5"/>
  <c r="E578" i="5" s="1"/>
  <c r="F578" i="5" s="1"/>
  <c r="A579" i="5"/>
  <c r="E579" i="5" s="1"/>
  <c r="F579" i="5" s="1"/>
  <c r="A580" i="5"/>
  <c r="E580" i="5" s="1"/>
  <c r="F580" i="5" s="1"/>
  <c r="A581" i="5"/>
  <c r="E581" i="5" s="1"/>
  <c r="F581" i="5" s="1"/>
  <c r="A582" i="5"/>
  <c r="E582" i="5" s="1"/>
  <c r="F582" i="5" s="1"/>
  <c r="A583" i="5"/>
  <c r="E583" i="5" s="1"/>
  <c r="F583" i="5" s="1"/>
  <c r="A584" i="5"/>
  <c r="E584" i="5" s="1"/>
  <c r="F584" i="5" s="1"/>
  <c r="A585" i="5"/>
  <c r="E585" i="5" s="1"/>
  <c r="F585" i="5" s="1"/>
  <c r="A586" i="5"/>
  <c r="E586" i="5" s="1"/>
  <c r="F586" i="5" s="1"/>
  <c r="A587" i="5"/>
  <c r="E587" i="5" s="1"/>
  <c r="F587" i="5" s="1"/>
  <c r="A588" i="5"/>
  <c r="E588" i="5" s="1"/>
  <c r="F588" i="5" s="1"/>
  <c r="A589" i="5"/>
  <c r="E589" i="5" s="1"/>
  <c r="F589" i="5" s="1"/>
  <c r="A590" i="5"/>
  <c r="E590" i="5" s="1"/>
  <c r="F590" i="5" s="1"/>
  <c r="A591" i="5"/>
  <c r="E591" i="5" s="1"/>
  <c r="F591" i="5" s="1"/>
  <c r="A592" i="5"/>
  <c r="E592" i="5" s="1"/>
  <c r="F592" i="5" s="1"/>
  <c r="A593" i="5"/>
  <c r="E593" i="5" s="1"/>
  <c r="F593" i="5" s="1"/>
  <c r="A594" i="5"/>
  <c r="E594" i="5" s="1"/>
  <c r="F594" i="5" s="1"/>
  <c r="A595" i="5"/>
  <c r="E595" i="5" s="1"/>
  <c r="F595" i="5" s="1"/>
  <c r="A596" i="5"/>
  <c r="E596" i="5" s="1"/>
  <c r="F596" i="5" s="1"/>
  <c r="A597" i="5"/>
  <c r="E597" i="5" s="1"/>
  <c r="F597" i="5" s="1"/>
  <c r="A598" i="5"/>
  <c r="E598" i="5" s="1"/>
  <c r="F598" i="5" s="1"/>
  <c r="A599" i="5"/>
  <c r="E599" i="5" s="1"/>
  <c r="F599" i="5" s="1"/>
  <c r="A600" i="5"/>
  <c r="E600" i="5" s="1"/>
  <c r="F600" i="5" s="1"/>
  <c r="A601" i="5"/>
  <c r="E601" i="5" s="1"/>
  <c r="F601" i="5" s="1"/>
  <c r="A602" i="5"/>
  <c r="E602" i="5" s="1"/>
  <c r="F602" i="5" s="1"/>
  <c r="A603" i="5"/>
  <c r="E603" i="5" s="1"/>
  <c r="F603" i="5" s="1"/>
  <c r="A604" i="5"/>
  <c r="E604" i="5" s="1"/>
  <c r="F604" i="5" s="1"/>
  <c r="A605" i="5"/>
  <c r="E605" i="5" s="1"/>
  <c r="F605" i="5" s="1"/>
  <c r="A606" i="5"/>
  <c r="E606" i="5" s="1"/>
  <c r="F606" i="5" s="1"/>
  <c r="A607" i="5"/>
  <c r="E607" i="5" s="1"/>
  <c r="F607" i="5" s="1"/>
  <c r="A608" i="5"/>
  <c r="E608" i="5" s="1"/>
  <c r="F608" i="5" s="1"/>
  <c r="A609" i="5"/>
  <c r="E609" i="5" s="1"/>
  <c r="F609" i="5" s="1"/>
  <c r="A610" i="5"/>
  <c r="E610" i="5" s="1"/>
  <c r="F610" i="5" s="1"/>
  <c r="A611" i="5"/>
  <c r="E611" i="5" s="1"/>
  <c r="F611" i="5" s="1"/>
  <c r="A612" i="5"/>
  <c r="E612" i="5" s="1"/>
  <c r="F612" i="5" s="1"/>
  <c r="A613" i="5"/>
  <c r="E613" i="5" s="1"/>
  <c r="F613" i="5" s="1"/>
  <c r="A614" i="5"/>
  <c r="E614" i="5" s="1"/>
  <c r="F614" i="5" s="1"/>
  <c r="A615" i="5"/>
  <c r="E615" i="5" s="1"/>
  <c r="F615" i="5" s="1"/>
  <c r="A616" i="5"/>
  <c r="E616" i="5" s="1"/>
  <c r="F616" i="5" s="1"/>
  <c r="A617" i="5"/>
  <c r="E617" i="5" s="1"/>
  <c r="F617" i="5" s="1"/>
  <c r="A618" i="5"/>
  <c r="E618" i="5" s="1"/>
  <c r="F618" i="5" s="1"/>
  <c r="A619" i="5"/>
  <c r="E619" i="5" s="1"/>
  <c r="F619" i="5" s="1"/>
  <c r="A620" i="5"/>
  <c r="E620" i="5" s="1"/>
  <c r="F620" i="5" s="1"/>
  <c r="A621" i="5"/>
  <c r="E621" i="5" s="1"/>
  <c r="F621" i="5" s="1"/>
  <c r="A622" i="5"/>
  <c r="E622" i="5" s="1"/>
  <c r="F622" i="5" s="1"/>
  <c r="A623" i="5"/>
  <c r="E623" i="5" s="1"/>
  <c r="F623" i="5" s="1"/>
  <c r="A624" i="5"/>
  <c r="E624" i="5" s="1"/>
  <c r="F624" i="5" s="1"/>
  <c r="A625" i="5"/>
  <c r="E625" i="5" s="1"/>
  <c r="F625" i="5" s="1"/>
  <c r="A626" i="5"/>
  <c r="E626" i="5" s="1"/>
  <c r="F626" i="5" s="1"/>
  <c r="A627" i="5"/>
  <c r="E627" i="5" s="1"/>
  <c r="F627" i="5" s="1"/>
  <c r="A628" i="5"/>
  <c r="E628" i="5" s="1"/>
  <c r="F628" i="5" s="1"/>
  <c r="A629" i="5"/>
  <c r="E629" i="5" s="1"/>
  <c r="F629" i="5" s="1"/>
  <c r="A630" i="5"/>
  <c r="E630" i="5" s="1"/>
  <c r="F630" i="5" s="1"/>
  <c r="A631" i="5"/>
  <c r="E631" i="5" s="1"/>
  <c r="F631" i="5" s="1"/>
  <c r="A632" i="5"/>
  <c r="E632" i="5" s="1"/>
  <c r="F632" i="5" s="1"/>
  <c r="A633" i="5"/>
  <c r="E633" i="5" s="1"/>
  <c r="F633" i="5" s="1"/>
  <c r="A634" i="5"/>
  <c r="E634" i="5" s="1"/>
  <c r="F634" i="5" s="1"/>
  <c r="A635" i="5"/>
  <c r="E635" i="5" s="1"/>
  <c r="F635" i="5" s="1"/>
  <c r="A636" i="5"/>
  <c r="E636" i="5" s="1"/>
  <c r="F636" i="5" s="1"/>
  <c r="A637" i="5"/>
  <c r="E637" i="5" s="1"/>
  <c r="F637" i="5" s="1"/>
  <c r="A638" i="5"/>
  <c r="E638" i="5" s="1"/>
  <c r="F638" i="5" s="1"/>
  <c r="A639" i="5"/>
  <c r="E639" i="5" s="1"/>
  <c r="F639" i="5" s="1"/>
  <c r="A640" i="5"/>
  <c r="E640" i="5" s="1"/>
  <c r="F640" i="5" s="1"/>
  <c r="A641" i="5"/>
  <c r="E641" i="5" s="1"/>
  <c r="F641" i="5" s="1"/>
  <c r="A642" i="5"/>
  <c r="E642" i="5" s="1"/>
  <c r="F642" i="5" s="1"/>
  <c r="A643" i="5"/>
  <c r="E643" i="5" s="1"/>
  <c r="F643" i="5" s="1"/>
  <c r="A644" i="5"/>
  <c r="E644" i="5" s="1"/>
  <c r="F644" i="5" s="1"/>
  <c r="A645" i="5"/>
  <c r="E645" i="5" s="1"/>
  <c r="F645" i="5" s="1"/>
  <c r="A646" i="5"/>
  <c r="E646" i="5" s="1"/>
  <c r="F646" i="5" s="1"/>
  <c r="A647" i="5"/>
  <c r="E647" i="5" s="1"/>
  <c r="F647" i="5" s="1"/>
  <c r="A648" i="5"/>
  <c r="E648" i="5" s="1"/>
  <c r="F648" i="5" s="1"/>
  <c r="A649" i="5"/>
  <c r="E649" i="5" s="1"/>
  <c r="F649" i="5" s="1"/>
  <c r="A650" i="5"/>
  <c r="E650" i="5" s="1"/>
  <c r="F650" i="5" s="1"/>
  <c r="A651" i="5"/>
  <c r="E651" i="5" s="1"/>
  <c r="F651" i="5" s="1"/>
  <c r="A652" i="5"/>
  <c r="E652" i="5" s="1"/>
  <c r="F652" i="5" s="1"/>
  <c r="A653" i="5"/>
  <c r="E653" i="5" s="1"/>
  <c r="F653" i="5" s="1"/>
  <c r="A654" i="5"/>
  <c r="E654" i="5" s="1"/>
  <c r="F654" i="5" s="1"/>
  <c r="A655" i="5"/>
  <c r="E655" i="5" s="1"/>
  <c r="F655" i="5" s="1"/>
  <c r="A656" i="5"/>
  <c r="E656" i="5" s="1"/>
  <c r="F656" i="5" s="1"/>
  <c r="A657" i="5"/>
  <c r="E657" i="5" s="1"/>
  <c r="F657" i="5" s="1"/>
  <c r="A658" i="5"/>
  <c r="E658" i="5" s="1"/>
  <c r="F658" i="5" s="1"/>
  <c r="A659" i="5"/>
  <c r="E659" i="5" s="1"/>
  <c r="F659" i="5" s="1"/>
  <c r="A660" i="5"/>
  <c r="E660" i="5" s="1"/>
  <c r="F660" i="5" s="1"/>
  <c r="A661" i="5"/>
  <c r="E661" i="5" s="1"/>
  <c r="F661" i="5" s="1"/>
  <c r="A662" i="5"/>
  <c r="E662" i="5" s="1"/>
  <c r="F662" i="5" s="1"/>
  <c r="A663" i="5"/>
  <c r="E663" i="5" s="1"/>
  <c r="F663" i="5" s="1"/>
  <c r="A664" i="5"/>
  <c r="E664" i="5" s="1"/>
  <c r="F664" i="5" s="1"/>
  <c r="A665" i="5"/>
  <c r="E665" i="5" s="1"/>
  <c r="F665" i="5" s="1"/>
  <c r="A666" i="5"/>
  <c r="E666" i="5" s="1"/>
  <c r="F666" i="5" s="1"/>
  <c r="A667" i="5"/>
  <c r="E667" i="5" s="1"/>
  <c r="F667" i="5" s="1"/>
  <c r="A668" i="5"/>
  <c r="E668" i="5" s="1"/>
  <c r="F668" i="5" s="1"/>
  <c r="A669" i="5"/>
  <c r="E669" i="5" s="1"/>
  <c r="F669" i="5" s="1"/>
  <c r="A670" i="5"/>
  <c r="E670" i="5" s="1"/>
  <c r="F670" i="5" s="1"/>
  <c r="A671" i="5"/>
  <c r="E671" i="5" s="1"/>
  <c r="F671" i="5" s="1"/>
  <c r="A672" i="5"/>
  <c r="E672" i="5" s="1"/>
  <c r="F672" i="5" s="1"/>
  <c r="A673" i="5"/>
  <c r="E673" i="5" s="1"/>
  <c r="F673" i="5" s="1"/>
  <c r="A674" i="5"/>
  <c r="E674" i="5" s="1"/>
  <c r="F674" i="5" s="1"/>
  <c r="A675" i="5"/>
  <c r="E675" i="5" s="1"/>
  <c r="F675" i="5" s="1"/>
  <c r="A676" i="5"/>
  <c r="E676" i="5" s="1"/>
  <c r="F676" i="5" s="1"/>
  <c r="A677" i="5"/>
  <c r="E677" i="5" s="1"/>
  <c r="F677" i="5" s="1"/>
  <c r="A678" i="5"/>
  <c r="E678" i="5" s="1"/>
  <c r="F678" i="5" s="1"/>
  <c r="A679" i="5"/>
  <c r="E679" i="5" s="1"/>
  <c r="F679" i="5" s="1"/>
  <c r="A680" i="5"/>
  <c r="E680" i="5" s="1"/>
  <c r="F680" i="5" s="1"/>
  <c r="A681" i="5"/>
  <c r="E681" i="5" s="1"/>
  <c r="F681" i="5" s="1"/>
  <c r="A682" i="5"/>
  <c r="E682" i="5" s="1"/>
  <c r="F682" i="5" s="1"/>
  <c r="A683" i="5"/>
  <c r="E683" i="5" s="1"/>
  <c r="F683" i="5" s="1"/>
  <c r="A684" i="5"/>
  <c r="E684" i="5" s="1"/>
  <c r="F684" i="5" s="1"/>
  <c r="A685" i="5"/>
  <c r="E685" i="5" s="1"/>
  <c r="F685" i="5" s="1"/>
  <c r="A686" i="5"/>
  <c r="E686" i="5" s="1"/>
  <c r="F686" i="5" s="1"/>
  <c r="A687" i="5"/>
  <c r="E687" i="5" s="1"/>
  <c r="F687" i="5" s="1"/>
  <c r="A688" i="5"/>
  <c r="E688" i="5" s="1"/>
  <c r="F688" i="5" s="1"/>
  <c r="A689" i="5"/>
  <c r="E689" i="5" s="1"/>
  <c r="F689" i="5" s="1"/>
  <c r="A690" i="5"/>
  <c r="E690" i="5" s="1"/>
  <c r="F690" i="5" s="1"/>
  <c r="A691" i="5"/>
  <c r="E691" i="5" s="1"/>
  <c r="F691" i="5" s="1"/>
  <c r="A692" i="5"/>
  <c r="E692" i="5" s="1"/>
  <c r="F692" i="5" s="1"/>
  <c r="A693" i="5"/>
  <c r="E693" i="5" s="1"/>
  <c r="F693" i="5" s="1"/>
  <c r="A694" i="5"/>
  <c r="E694" i="5" s="1"/>
  <c r="F694" i="5" s="1"/>
  <c r="A695" i="5"/>
  <c r="E695" i="5" s="1"/>
  <c r="F695" i="5" s="1"/>
  <c r="A696" i="5"/>
  <c r="E696" i="5" s="1"/>
  <c r="F696" i="5" s="1"/>
  <c r="A697" i="5"/>
  <c r="E697" i="5" s="1"/>
  <c r="F697" i="5" s="1"/>
  <c r="A698" i="5"/>
  <c r="E698" i="5" s="1"/>
  <c r="F698" i="5" s="1"/>
  <c r="A699" i="5"/>
  <c r="E699" i="5" s="1"/>
  <c r="F699" i="5" s="1"/>
  <c r="A700" i="5"/>
  <c r="E700" i="5" s="1"/>
  <c r="F700" i="5" s="1"/>
  <c r="A701" i="5"/>
  <c r="E701" i="5" s="1"/>
  <c r="F701" i="5" s="1"/>
  <c r="A702" i="5"/>
  <c r="E702" i="5" s="1"/>
  <c r="F702" i="5" s="1"/>
  <c r="A703" i="5"/>
  <c r="E703" i="5" s="1"/>
  <c r="F703" i="5" s="1"/>
  <c r="A704" i="5"/>
  <c r="E704" i="5" s="1"/>
  <c r="F704" i="5" s="1"/>
  <c r="A705" i="5"/>
  <c r="E705" i="5" s="1"/>
  <c r="F705" i="5" s="1"/>
  <c r="A706" i="5"/>
  <c r="E706" i="5" s="1"/>
  <c r="F706" i="5" s="1"/>
  <c r="A707" i="5"/>
  <c r="E707" i="5" s="1"/>
  <c r="F707" i="5" s="1"/>
  <c r="A708" i="5"/>
  <c r="E708" i="5" s="1"/>
  <c r="F708" i="5" s="1"/>
  <c r="A709" i="5"/>
  <c r="E709" i="5" s="1"/>
  <c r="F709" i="5" s="1"/>
  <c r="A710" i="5"/>
  <c r="E710" i="5" s="1"/>
  <c r="F710" i="5" s="1"/>
  <c r="A711" i="5"/>
  <c r="E711" i="5" s="1"/>
  <c r="F711" i="5" s="1"/>
  <c r="A712" i="5"/>
  <c r="E712" i="5" s="1"/>
  <c r="F712" i="5" s="1"/>
  <c r="A713" i="5"/>
  <c r="E713" i="5" s="1"/>
  <c r="F713" i="5" s="1"/>
  <c r="A714" i="5"/>
  <c r="E714" i="5" s="1"/>
  <c r="F714" i="5" s="1"/>
  <c r="A715" i="5"/>
  <c r="E715" i="5" s="1"/>
  <c r="F715" i="5" s="1"/>
  <c r="A716" i="5"/>
  <c r="E716" i="5" s="1"/>
  <c r="F716" i="5" s="1"/>
  <c r="A717" i="5"/>
  <c r="E717" i="5" s="1"/>
  <c r="F717" i="5" s="1"/>
  <c r="A718" i="5"/>
  <c r="E718" i="5" s="1"/>
  <c r="F718" i="5" s="1"/>
  <c r="A719" i="5"/>
  <c r="E719" i="5" s="1"/>
  <c r="F719" i="5" s="1"/>
  <c r="A720" i="5"/>
  <c r="E720" i="5" s="1"/>
  <c r="F720" i="5" s="1"/>
  <c r="A721" i="5"/>
  <c r="E721" i="5" s="1"/>
  <c r="F721" i="5" s="1"/>
  <c r="A722" i="5"/>
  <c r="E722" i="5" s="1"/>
  <c r="F722" i="5" s="1"/>
  <c r="A723" i="5"/>
  <c r="E723" i="5" s="1"/>
  <c r="F723" i="5" s="1"/>
  <c r="A724" i="5"/>
  <c r="E724" i="5" s="1"/>
  <c r="F724" i="5" s="1"/>
  <c r="A725" i="5"/>
  <c r="E725" i="5" s="1"/>
  <c r="F725" i="5" s="1"/>
  <c r="A726" i="5"/>
  <c r="E726" i="5" s="1"/>
  <c r="F726" i="5" s="1"/>
  <c r="A727" i="5"/>
  <c r="E727" i="5" s="1"/>
  <c r="F727" i="5" s="1"/>
  <c r="A728" i="5"/>
  <c r="E728" i="5" s="1"/>
  <c r="F728" i="5" s="1"/>
  <c r="A729" i="5"/>
  <c r="E729" i="5" s="1"/>
  <c r="F729" i="5" s="1"/>
  <c r="A730" i="5"/>
  <c r="E730" i="5" s="1"/>
  <c r="F730" i="5" s="1"/>
  <c r="A731" i="5"/>
  <c r="E731" i="5" s="1"/>
  <c r="F731" i="5" s="1"/>
  <c r="A732" i="5"/>
  <c r="E732" i="5" s="1"/>
  <c r="F732" i="5" s="1"/>
  <c r="A733" i="5"/>
  <c r="E733" i="5" s="1"/>
  <c r="F733" i="5" s="1"/>
  <c r="A734" i="5"/>
  <c r="E734" i="5" s="1"/>
  <c r="F734" i="5" s="1"/>
  <c r="A735" i="5"/>
  <c r="E735" i="5" s="1"/>
  <c r="F735" i="5" s="1"/>
  <c r="A736" i="5"/>
  <c r="E736" i="5" s="1"/>
  <c r="F736" i="5" s="1"/>
  <c r="A737" i="5"/>
  <c r="E737" i="5" s="1"/>
  <c r="F737" i="5" s="1"/>
  <c r="A738" i="5"/>
  <c r="E738" i="5" s="1"/>
  <c r="F738" i="5" s="1"/>
  <c r="A739" i="5"/>
  <c r="E739" i="5" s="1"/>
  <c r="F739" i="5" s="1"/>
  <c r="A740" i="5"/>
  <c r="E740" i="5" s="1"/>
  <c r="F740" i="5" s="1"/>
  <c r="A741" i="5"/>
  <c r="E741" i="5" s="1"/>
  <c r="F741" i="5" s="1"/>
  <c r="A742" i="5"/>
  <c r="E742" i="5" s="1"/>
  <c r="F742" i="5" s="1"/>
  <c r="A743" i="5"/>
  <c r="E743" i="5" s="1"/>
  <c r="F743" i="5" s="1"/>
  <c r="A744" i="5"/>
  <c r="E744" i="5" s="1"/>
  <c r="F744" i="5" s="1"/>
  <c r="A745" i="5"/>
  <c r="E745" i="5" s="1"/>
  <c r="F745" i="5" s="1"/>
  <c r="A746" i="5"/>
  <c r="E746" i="5" s="1"/>
  <c r="F746" i="5" s="1"/>
  <c r="A747" i="5"/>
  <c r="E747" i="5" s="1"/>
  <c r="F747" i="5" s="1"/>
  <c r="A748" i="5"/>
  <c r="E748" i="5" s="1"/>
  <c r="F748" i="5" s="1"/>
  <c r="A749" i="5"/>
  <c r="E749" i="5" s="1"/>
  <c r="F749" i="5" s="1"/>
  <c r="A750" i="5"/>
  <c r="E750" i="5" s="1"/>
  <c r="F750" i="5" s="1"/>
  <c r="A751" i="5"/>
  <c r="E751" i="5" s="1"/>
  <c r="F751" i="5" s="1"/>
  <c r="A752" i="5"/>
  <c r="E752" i="5" s="1"/>
  <c r="F752" i="5" s="1"/>
  <c r="A753" i="5"/>
  <c r="E753" i="5" s="1"/>
  <c r="F753" i="5" s="1"/>
  <c r="A754" i="5"/>
  <c r="E754" i="5" s="1"/>
  <c r="F754" i="5" s="1"/>
  <c r="A755" i="5"/>
  <c r="E755" i="5" s="1"/>
  <c r="F755" i="5" s="1"/>
  <c r="A756" i="5"/>
  <c r="E756" i="5" s="1"/>
  <c r="F756" i="5" s="1"/>
  <c r="A757" i="5"/>
  <c r="E757" i="5" s="1"/>
  <c r="F757" i="5" s="1"/>
  <c r="A758" i="5"/>
  <c r="E758" i="5" s="1"/>
  <c r="F758" i="5" s="1"/>
  <c r="A759" i="5"/>
  <c r="E759" i="5" s="1"/>
  <c r="F759" i="5" s="1"/>
  <c r="A760" i="5"/>
  <c r="E760" i="5" s="1"/>
  <c r="F760" i="5" s="1"/>
  <c r="A761" i="5"/>
  <c r="E761" i="5" s="1"/>
  <c r="F761" i="5" s="1"/>
  <c r="A762" i="5"/>
  <c r="E762" i="5" s="1"/>
  <c r="F762" i="5" s="1"/>
  <c r="A763" i="5"/>
  <c r="E763" i="5" s="1"/>
  <c r="F763" i="5" s="1"/>
  <c r="A764" i="5"/>
  <c r="E764" i="5" s="1"/>
  <c r="F764" i="5" s="1"/>
  <c r="A765" i="5"/>
  <c r="E765" i="5" s="1"/>
  <c r="F765" i="5" s="1"/>
  <c r="A766" i="5"/>
  <c r="E766" i="5" s="1"/>
  <c r="F766" i="5" s="1"/>
  <c r="A767" i="5"/>
  <c r="E767" i="5" s="1"/>
  <c r="F767" i="5" s="1"/>
  <c r="A768" i="5"/>
  <c r="E768" i="5" s="1"/>
  <c r="F768" i="5" s="1"/>
  <c r="A769" i="5"/>
  <c r="E769" i="5" s="1"/>
  <c r="F769" i="5" s="1"/>
  <c r="A770" i="5"/>
  <c r="E770" i="5" s="1"/>
  <c r="F770" i="5" s="1"/>
  <c r="A771" i="5"/>
  <c r="E771" i="5" s="1"/>
  <c r="F771" i="5" s="1"/>
  <c r="A772" i="5"/>
  <c r="E772" i="5" s="1"/>
  <c r="F772" i="5" s="1"/>
  <c r="A773" i="5"/>
  <c r="E773" i="5" s="1"/>
  <c r="F773" i="5" s="1"/>
  <c r="A774" i="5"/>
  <c r="E774" i="5" s="1"/>
  <c r="F774" i="5" s="1"/>
  <c r="A775" i="5"/>
  <c r="E775" i="5" s="1"/>
  <c r="F775" i="5" s="1"/>
  <c r="A776" i="5"/>
  <c r="E776" i="5" s="1"/>
  <c r="F776" i="5" s="1"/>
  <c r="A777" i="5"/>
  <c r="E777" i="5" s="1"/>
  <c r="F777" i="5" s="1"/>
  <c r="A778" i="5"/>
  <c r="E778" i="5" s="1"/>
  <c r="F778" i="5" s="1"/>
  <c r="A779" i="5"/>
  <c r="E779" i="5" s="1"/>
  <c r="F779" i="5" s="1"/>
  <c r="A780" i="5"/>
  <c r="E780" i="5" s="1"/>
  <c r="F780" i="5" s="1"/>
  <c r="A781" i="5"/>
  <c r="E781" i="5" s="1"/>
  <c r="F781" i="5" s="1"/>
  <c r="A782" i="5"/>
  <c r="E782" i="5" s="1"/>
  <c r="F782" i="5" s="1"/>
  <c r="A783" i="5"/>
  <c r="E783" i="5" s="1"/>
  <c r="F783" i="5" s="1"/>
  <c r="A784" i="5"/>
  <c r="E784" i="5" s="1"/>
  <c r="F784" i="5" s="1"/>
  <c r="A785" i="5"/>
  <c r="E785" i="5" s="1"/>
  <c r="F785" i="5" s="1"/>
  <c r="A786" i="5"/>
  <c r="E786" i="5" s="1"/>
  <c r="F786" i="5" s="1"/>
  <c r="A787" i="5"/>
  <c r="E787" i="5" s="1"/>
  <c r="F787" i="5" s="1"/>
  <c r="A788" i="5"/>
  <c r="E788" i="5" s="1"/>
  <c r="F788" i="5" s="1"/>
  <c r="A789" i="5"/>
  <c r="E789" i="5" s="1"/>
  <c r="F789" i="5" s="1"/>
  <c r="A790" i="5"/>
  <c r="E790" i="5" s="1"/>
  <c r="F790" i="5" s="1"/>
  <c r="A791" i="5"/>
  <c r="E791" i="5" s="1"/>
  <c r="F791" i="5" s="1"/>
  <c r="A792" i="5"/>
  <c r="E792" i="5" s="1"/>
  <c r="F792" i="5" s="1"/>
  <c r="A793" i="5"/>
  <c r="E793" i="5" s="1"/>
  <c r="F793" i="5" s="1"/>
  <c r="A794" i="5"/>
  <c r="E794" i="5" s="1"/>
  <c r="F794" i="5" s="1"/>
  <c r="A795" i="5"/>
  <c r="E795" i="5" s="1"/>
  <c r="F795" i="5" s="1"/>
  <c r="A796" i="5"/>
  <c r="E796" i="5" s="1"/>
  <c r="F796" i="5" s="1"/>
  <c r="A797" i="5"/>
  <c r="E797" i="5" s="1"/>
  <c r="F797" i="5" s="1"/>
  <c r="A798" i="5"/>
  <c r="E798" i="5" s="1"/>
  <c r="F798" i="5" s="1"/>
  <c r="A799" i="5"/>
  <c r="E799" i="5" s="1"/>
  <c r="F799" i="5" s="1"/>
  <c r="A800" i="5"/>
  <c r="E800" i="5" s="1"/>
  <c r="F800" i="5" s="1"/>
  <c r="A801" i="5"/>
  <c r="E801" i="5" s="1"/>
  <c r="F801" i="5" s="1"/>
  <c r="A802" i="5"/>
  <c r="E802" i="5" s="1"/>
  <c r="F802" i="5" s="1"/>
  <c r="A3" i="5"/>
  <c r="A4" i="5"/>
  <c r="E4" i="5" s="1"/>
  <c r="F4" i="5" s="1"/>
  <c r="A5" i="5"/>
  <c r="E5" i="5" s="1"/>
  <c r="F5" i="5" s="1"/>
  <c r="A6" i="5"/>
  <c r="E6" i="5" s="1"/>
  <c r="F6" i="5" s="1"/>
  <c r="A7" i="5"/>
  <c r="E7" i="5" s="1"/>
  <c r="F7" i="5" s="1"/>
  <c r="A8" i="5"/>
  <c r="E8" i="5" s="1"/>
  <c r="F8" i="5" s="1"/>
  <c r="A9" i="5"/>
  <c r="E9" i="5" s="1"/>
  <c r="F9" i="5" s="1"/>
  <c r="A10" i="5"/>
  <c r="E10" i="5" s="1"/>
  <c r="F10" i="5" s="1"/>
  <c r="A11" i="5"/>
  <c r="E11" i="5" s="1"/>
  <c r="F11" i="5" s="1"/>
  <c r="A12" i="5"/>
  <c r="E12" i="5" s="1"/>
  <c r="F12" i="5" s="1"/>
  <c r="A13" i="5"/>
  <c r="E13" i="5" s="1"/>
  <c r="F13" i="5" s="1"/>
  <c r="A14" i="5"/>
  <c r="E14" i="5" s="1"/>
  <c r="F14" i="5" s="1"/>
  <c r="A15" i="5"/>
  <c r="E15" i="5" s="1"/>
  <c r="F15" i="5" s="1"/>
  <c r="A16" i="5"/>
  <c r="E16" i="5" s="1"/>
  <c r="F16" i="5" s="1"/>
  <c r="A17" i="5"/>
  <c r="E17" i="5" s="1"/>
  <c r="F17" i="5" s="1"/>
  <c r="A18" i="5"/>
  <c r="E18" i="5" s="1"/>
  <c r="F18" i="5" s="1"/>
  <c r="A19" i="5"/>
  <c r="E19" i="5" s="1"/>
  <c r="F19" i="5" s="1"/>
  <c r="A20" i="5"/>
  <c r="E20" i="5" s="1"/>
  <c r="F20" i="5" s="1"/>
  <c r="A21" i="5"/>
  <c r="E21" i="5" s="1"/>
  <c r="F21" i="5" s="1"/>
  <c r="A22" i="5"/>
  <c r="E22" i="5" s="1"/>
  <c r="F22" i="5" s="1"/>
  <c r="A23" i="5"/>
  <c r="E23" i="5" s="1"/>
  <c r="F23" i="5" s="1"/>
  <c r="A24" i="5"/>
  <c r="E24" i="5" s="1"/>
  <c r="F24" i="5" s="1"/>
  <c r="A25" i="5"/>
  <c r="E25" i="5" s="1"/>
  <c r="F25" i="5" s="1"/>
  <c r="A26" i="5"/>
  <c r="E26" i="5" s="1"/>
  <c r="F26" i="5" s="1"/>
  <c r="A27" i="5"/>
  <c r="E27" i="5" s="1"/>
  <c r="F27" i="5" s="1"/>
  <c r="A28" i="5"/>
  <c r="E28" i="5" s="1"/>
  <c r="F28" i="5" s="1"/>
  <c r="A29" i="5"/>
  <c r="E29" i="5" s="1"/>
  <c r="F29" i="5" s="1"/>
  <c r="A30" i="5"/>
  <c r="E30" i="5" s="1"/>
  <c r="F30" i="5" s="1"/>
  <c r="A31" i="5"/>
  <c r="E31" i="5" s="1"/>
  <c r="F31" i="5" s="1"/>
  <c r="A32" i="5"/>
  <c r="E32" i="5" s="1"/>
  <c r="F32" i="5" s="1"/>
  <c r="A33" i="5"/>
  <c r="E33" i="5" s="1"/>
  <c r="F33" i="5" s="1"/>
  <c r="A34" i="5"/>
  <c r="E34" i="5" s="1"/>
  <c r="F34" i="5" s="1"/>
  <c r="A35" i="5"/>
  <c r="E35" i="5" s="1"/>
  <c r="F35" i="5" s="1"/>
  <c r="A36" i="5"/>
  <c r="E36" i="5" s="1"/>
  <c r="F36" i="5" s="1"/>
  <c r="A37" i="5"/>
  <c r="E37" i="5" s="1"/>
  <c r="F37" i="5" s="1"/>
  <c r="A38" i="5"/>
  <c r="E38" i="5" s="1"/>
  <c r="F38" i="5" s="1"/>
  <c r="A39" i="5"/>
  <c r="E39" i="5" s="1"/>
  <c r="F39" i="5" s="1"/>
  <c r="A40" i="5"/>
  <c r="E40" i="5" s="1"/>
  <c r="F40" i="5" s="1"/>
  <c r="A41" i="5"/>
  <c r="E41" i="5" s="1"/>
  <c r="F41" i="5" s="1"/>
  <c r="A42" i="5"/>
  <c r="E42" i="5" s="1"/>
  <c r="F42" i="5" s="1"/>
  <c r="A43" i="5"/>
  <c r="E43" i="5" s="1"/>
  <c r="F43" i="5" s="1"/>
  <c r="A44" i="5"/>
  <c r="E44" i="5" s="1"/>
  <c r="F44" i="5" s="1"/>
  <c r="A45" i="5"/>
  <c r="E45" i="5" s="1"/>
  <c r="F45" i="5" s="1"/>
  <c r="A46" i="5"/>
  <c r="E46" i="5" s="1"/>
  <c r="F46" i="5" s="1"/>
  <c r="A47" i="5"/>
  <c r="E47" i="5" s="1"/>
  <c r="F47" i="5" s="1"/>
  <c r="A48" i="5"/>
  <c r="E48" i="5" s="1"/>
  <c r="F48" i="5" s="1"/>
  <c r="A49" i="5"/>
  <c r="E49" i="5" s="1"/>
  <c r="F49" i="5" s="1"/>
  <c r="A50" i="5"/>
  <c r="E50" i="5" s="1"/>
  <c r="F50" i="5" s="1"/>
  <c r="A51" i="5"/>
  <c r="E51" i="5" s="1"/>
  <c r="F51" i="5" s="1"/>
  <c r="A52" i="5"/>
  <c r="E52" i="5" s="1"/>
  <c r="F52" i="5" s="1"/>
  <c r="A53" i="5"/>
  <c r="E53" i="5" s="1"/>
  <c r="F53" i="5" s="1"/>
  <c r="A54" i="5"/>
  <c r="E54" i="5" s="1"/>
  <c r="F54" i="5" s="1"/>
  <c r="A55" i="5"/>
  <c r="E55" i="5" s="1"/>
  <c r="F55" i="5" s="1"/>
  <c r="A56" i="5"/>
  <c r="E56" i="5" s="1"/>
  <c r="F56" i="5" s="1"/>
  <c r="A57" i="5"/>
  <c r="E57" i="5" s="1"/>
  <c r="F57" i="5" s="1"/>
  <c r="A58" i="5"/>
  <c r="E58" i="5" s="1"/>
  <c r="F58" i="5" s="1"/>
  <c r="A59" i="5"/>
  <c r="E59" i="5" s="1"/>
  <c r="F59" i="5" s="1"/>
  <c r="A60" i="5"/>
  <c r="E60" i="5" s="1"/>
  <c r="F60" i="5" s="1"/>
  <c r="A61" i="5"/>
  <c r="E61" i="5" s="1"/>
  <c r="F61" i="5" s="1"/>
  <c r="A62" i="5"/>
  <c r="E62" i="5" s="1"/>
  <c r="F62" i="5" s="1"/>
  <c r="A63" i="5"/>
  <c r="E63" i="5" s="1"/>
  <c r="F63" i="5" s="1"/>
  <c r="A64" i="5"/>
  <c r="E64" i="5" s="1"/>
  <c r="F64" i="5" s="1"/>
  <c r="A65" i="5"/>
  <c r="E65" i="5" s="1"/>
  <c r="F65" i="5" s="1"/>
  <c r="A66" i="5"/>
  <c r="E66" i="5" s="1"/>
  <c r="F66" i="5" s="1"/>
  <c r="A67" i="5"/>
  <c r="E67" i="5" s="1"/>
  <c r="F67" i="5" s="1"/>
  <c r="A68" i="5"/>
  <c r="E68" i="5" s="1"/>
  <c r="F68" i="5" s="1"/>
  <c r="A69" i="5"/>
  <c r="E69" i="5" s="1"/>
  <c r="F69" i="5" s="1"/>
  <c r="A70" i="5"/>
  <c r="E70" i="5" s="1"/>
  <c r="F70" i="5" s="1"/>
  <c r="A71" i="5"/>
  <c r="E71" i="5" s="1"/>
  <c r="F71" i="5" s="1"/>
  <c r="A72" i="5"/>
  <c r="E72" i="5" s="1"/>
  <c r="F72" i="5" s="1"/>
  <c r="A73" i="5"/>
  <c r="E73" i="5" s="1"/>
  <c r="F73" i="5" s="1"/>
  <c r="A74" i="5"/>
  <c r="E74" i="5" s="1"/>
  <c r="F74" i="5" s="1"/>
  <c r="A75" i="5"/>
  <c r="E75" i="5" s="1"/>
  <c r="F75" i="5" s="1"/>
  <c r="A76" i="5"/>
  <c r="E76" i="5" s="1"/>
  <c r="F76" i="5" s="1"/>
  <c r="A77" i="5"/>
  <c r="E77" i="5" s="1"/>
  <c r="F77" i="5" s="1"/>
  <c r="A78" i="5"/>
  <c r="E78" i="5" s="1"/>
  <c r="F78" i="5" s="1"/>
  <c r="A79" i="5"/>
  <c r="E79" i="5" s="1"/>
  <c r="F79" i="5" s="1"/>
  <c r="A80" i="5"/>
  <c r="E80" i="5" s="1"/>
  <c r="F80" i="5" s="1"/>
  <c r="A81" i="5"/>
  <c r="E81" i="5" s="1"/>
  <c r="F81" i="5" s="1"/>
  <c r="A82" i="5"/>
  <c r="E82" i="5" s="1"/>
  <c r="F82" i="5" s="1"/>
  <c r="A83" i="5"/>
  <c r="E83" i="5" s="1"/>
  <c r="F83" i="5" s="1"/>
  <c r="A84" i="5"/>
  <c r="E84" i="5" s="1"/>
  <c r="F84" i="5" s="1"/>
  <c r="A85" i="5"/>
  <c r="E85" i="5" s="1"/>
  <c r="F85" i="5" s="1"/>
  <c r="A86" i="5"/>
  <c r="E86" i="5" s="1"/>
  <c r="F86" i="5" s="1"/>
  <c r="A87" i="5"/>
  <c r="E87" i="5" s="1"/>
  <c r="F87" i="5" s="1"/>
  <c r="A88" i="5"/>
  <c r="E88" i="5" s="1"/>
  <c r="F88" i="5" s="1"/>
  <c r="A89" i="5"/>
  <c r="E89" i="5" s="1"/>
  <c r="F89" i="5" s="1"/>
  <c r="A90" i="5"/>
  <c r="E90" i="5" s="1"/>
  <c r="F90" i="5" s="1"/>
  <c r="A91" i="5"/>
  <c r="E91" i="5" s="1"/>
  <c r="F91" i="5" s="1"/>
  <c r="A92" i="5"/>
  <c r="E92" i="5" s="1"/>
  <c r="F92" i="5" s="1"/>
  <c r="A93" i="5"/>
  <c r="E93" i="5" s="1"/>
  <c r="F93" i="5" s="1"/>
  <c r="A94" i="5"/>
  <c r="E94" i="5" s="1"/>
  <c r="F94" i="5" s="1"/>
  <c r="A95" i="5"/>
  <c r="E95" i="5" s="1"/>
  <c r="F95" i="5" s="1"/>
  <c r="A96" i="5"/>
  <c r="E96" i="5" s="1"/>
  <c r="F96" i="5" s="1"/>
  <c r="A97" i="5"/>
  <c r="E97" i="5" s="1"/>
  <c r="F97" i="5" s="1"/>
  <c r="A98" i="5"/>
  <c r="E98" i="5" s="1"/>
  <c r="F98" i="5" s="1"/>
  <c r="A99" i="5"/>
  <c r="E99" i="5" s="1"/>
  <c r="F99" i="5" s="1"/>
  <c r="A100" i="5"/>
  <c r="E100" i="5" s="1"/>
  <c r="F100" i="5" s="1"/>
  <c r="A101" i="5"/>
  <c r="E101" i="5" s="1"/>
  <c r="F101" i="5" s="1"/>
  <c r="A102" i="5"/>
  <c r="E102" i="5" s="1"/>
  <c r="F102" i="5" s="1"/>
  <c r="A103" i="5"/>
  <c r="E103" i="5" s="1"/>
  <c r="F103" i="5" s="1"/>
  <c r="A104" i="5"/>
  <c r="E104" i="5" s="1"/>
  <c r="F104" i="5" s="1"/>
  <c r="A105" i="5"/>
  <c r="E105" i="5" s="1"/>
  <c r="F105" i="5" s="1"/>
  <c r="A106" i="5"/>
  <c r="E106" i="5" s="1"/>
  <c r="F106" i="5" s="1"/>
  <c r="A107" i="5"/>
  <c r="E107" i="5" s="1"/>
  <c r="F107" i="5" s="1"/>
  <c r="A108" i="5"/>
  <c r="E108" i="5" s="1"/>
  <c r="F108" i="5" s="1"/>
  <c r="A109" i="5"/>
  <c r="E109" i="5" s="1"/>
  <c r="F109" i="5" s="1"/>
  <c r="A110" i="5"/>
  <c r="E110" i="5" s="1"/>
  <c r="F110" i="5" s="1"/>
  <c r="A111" i="5"/>
  <c r="E111" i="5" s="1"/>
  <c r="F111" i="5" s="1"/>
  <c r="A112" i="5"/>
  <c r="E112" i="5" s="1"/>
  <c r="F112" i="5" s="1"/>
  <c r="A113" i="5"/>
  <c r="E113" i="5" s="1"/>
  <c r="F113" i="5" s="1"/>
  <c r="A114" i="5"/>
  <c r="E114" i="5" s="1"/>
  <c r="F114" i="5" s="1"/>
  <c r="A115" i="5"/>
  <c r="E115" i="5" s="1"/>
  <c r="F115" i="5" s="1"/>
  <c r="A116" i="5"/>
  <c r="E116" i="5" s="1"/>
  <c r="F116" i="5" s="1"/>
  <c r="A117" i="5"/>
  <c r="E117" i="5" s="1"/>
  <c r="F117" i="5" s="1"/>
  <c r="A118" i="5"/>
  <c r="E118" i="5" s="1"/>
  <c r="F118" i="5" s="1"/>
  <c r="A119" i="5"/>
  <c r="E119" i="5" s="1"/>
  <c r="F119" i="5" s="1"/>
  <c r="A120" i="5"/>
  <c r="E120" i="5" s="1"/>
  <c r="F120" i="5" s="1"/>
  <c r="A121" i="5"/>
  <c r="E121" i="5" s="1"/>
  <c r="F121" i="5" s="1"/>
  <c r="A122" i="5"/>
  <c r="E122" i="5" s="1"/>
  <c r="F122" i="5" s="1"/>
  <c r="A123" i="5"/>
  <c r="E123" i="5" s="1"/>
  <c r="F123" i="5" s="1"/>
  <c r="A124" i="5"/>
  <c r="E124" i="5" s="1"/>
  <c r="F124" i="5" s="1"/>
  <c r="A125" i="5"/>
  <c r="E125" i="5" s="1"/>
  <c r="F125" i="5" s="1"/>
  <c r="A126" i="5"/>
  <c r="E126" i="5" s="1"/>
  <c r="F126" i="5" s="1"/>
  <c r="A127" i="5"/>
  <c r="E127" i="5" s="1"/>
  <c r="F127" i="5" s="1"/>
  <c r="A128" i="5"/>
  <c r="E128" i="5" s="1"/>
  <c r="F128" i="5" s="1"/>
  <c r="A129" i="5"/>
  <c r="E129" i="5" s="1"/>
  <c r="F129" i="5" s="1"/>
  <c r="A130" i="5"/>
  <c r="E130" i="5" s="1"/>
  <c r="F130" i="5" s="1"/>
  <c r="A131" i="5"/>
  <c r="E131" i="5" s="1"/>
  <c r="F131" i="5" s="1"/>
  <c r="A132" i="5"/>
  <c r="E132" i="5" s="1"/>
  <c r="F132" i="5" s="1"/>
  <c r="A133" i="5"/>
  <c r="E133" i="5" s="1"/>
  <c r="F133" i="5" s="1"/>
  <c r="A134" i="5"/>
  <c r="E134" i="5" s="1"/>
  <c r="F134" i="5" s="1"/>
  <c r="A135" i="5"/>
  <c r="E135" i="5" s="1"/>
  <c r="F135" i="5" s="1"/>
  <c r="A136" i="5"/>
  <c r="E136" i="5" s="1"/>
  <c r="F136" i="5" s="1"/>
  <c r="A137" i="5"/>
  <c r="E137" i="5" s="1"/>
  <c r="F137" i="5" s="1"/>
  <c r="A138" i="5"/>
  <c r="E138" i="5" s="1"/>
  <c r="F138" i="5" s="1"/>
  <c r="A139" i="5"/>
  <c r="E139" i="5" s="1"/>
  <c r="F139" i="5" s="1"/>
  <c r="A140" i="5"/>
  <c r="E140" i="5" s="1"/>
  <c r="F140" i="5" s="1"/>
  <c r="A141" i="5"/>
  <c r="E141" i="5" s="1"/>
  <c r="F141" i="5" s="1"/>
  <c r="A142" i="5"/>
  <c r="E142" i="5" s="1"/>
  <c r="F142" i="5" s="1"/>
  <c r="A143" i="5"/>
  <c r="E143" i="5" s="1"/>
  <c r="F143" i="5" s="1"/>
  <c r="A144" i="5"/>
  <c r="E144" i="5" s="1"/>
  <c r="F144" i="5" s="1"/>
  <c r="A145" i="5"/>
  <c r="E145" i="5" s="1"/>
  <c r="F145" i="5" s="1"/>
  <c r="A146" i="5"/>
  <c r="E146" i="5" s="1"/>
  <c r="F146" i="5" s="1"/>
  <c r="A147" i="5"/>
  <c r="E147" i="5" s="1"/>
  <c r="F147" i="5" s="1"/>
  <c r="A148" i="5"/>
  <c r="E148" i="5" s="1"/>
  <c r="F148" i="5" s="1"/>
  <c r="A149" i="5"/>
  <c r="E149" i="5" s="1"/>
  <c r="F149" i="5" s="1"/>
  <c r="A150" i="5"/>
  <c r="E150" i="5" s="1"/>
  <c r="F150" i="5" s="1"/>
  <c r="A151" i="5"/>
  <c r="E151" i="5" s="1"/>
  <c r="F151" i="5" s="1"/>
  <c r="A152" i="5"/>
  <c r="E152" i="5" s="1"/>
  <c r="F152" i="5" s="1"/>
  <c r="A153" i="5"/>
  <c r="E153" i="5" s="1"/>
  <c r="F153" i="5" s="1"/>
  <c r="A154" i="5"/>
  <c r="E154" i="5" s="1"/>
  <c r="F154" i="5" s="1"/>
  <c r="A155" i="5"/>
  <c r="E155" i="5" s="1"/>
  <c r="F155" i="5" s="1"/>
  <c r="A156" i="5"/>
  <c r="E156" i="5" s="1"/>
  <c r="F156" i="5" s="1"/>
  <c r="A157" i="5"/>
  <c r="E157" i="5" s="1"/>
  <c r="F157" i="5" s="1"/>
  <c r="A158" i="5"/>
  <c r="E158" i="5" s="1"/>
  <c r="F158" i="5" s="1"/>
  <c r="A159" i="5"/>
  <c r="E159" i="5" s="1"/>
  <c r="F159" i="5" s="1"/>
  <c r="A160" i="5"/>
  <c r="E160" i="5" s="1"/>
  <c r="F160" i="5" s="1"/>
  <c r="A161" i="5"/>
  <c r="E161" i="5" s="1"/>
  <c r="F161" i="5" s="1"/>
  <c r="A162" i="5"/>
  <c r="E162" i="5" s="1"/>
  <c r="F162" i="5" s="1"/>
  <c r="A163" i="5"/>
  <c r="E163" i="5" s="1"/>
  <c r="F163" i="5" s="1"/>
  <c r="A164" i="5"/>
  <c r="E164" i="5" s="1"/>
  <c r="F164" i="5" s="1"/>
  <c r="A165" i="5"/>
  <c r="E165" i="5" s="1"/>
  <c r="F165" i="5" s="1"/>
  <c r="A166" i="5"/>
  <c r="E166" i="5" s="1"/>
  <c r="F166" i="5" s="1"/>
  <c r="A167" i="5"/>
  <c r="E167" i="5" s="1"/>
  <c r="F167" i="5" s="1"/>
  <c r="A168" i="5"/>
  <c r="E168" i="5" s="1"/>
  <c r="F168" i="5" s="1"/>
  <c r="A169" i="5"/>
  <c r="E169" i="5" s="1"/>
  <c r="F169" i="5" s="1"/>
  <c r="A170" i="5"/>
  <c r="E170" i="5" s="1"/>
  <c r="F170" i="5" s="1"/>
  <c r="A171" i="5"/>
  <c r="E171" i="5" s="1"/>
  <c r="F171" i="5" s="1"/>
  <c r="A172" i="5"/>
  <c r="E172" i="5" s="1"/>
  <c r="F172" i="5" s="1"/>
  <c r="A173" i="5"/>
  <c r="E173" i="5" s="1"/>
  <c r="F173" i="5" s="1"/>
  <c r="A174" i="5"/>
  <c r="E174" i="5" s="1"/>
  <c r="F174" i="5" s="1"/>
  <c r="A175" i="5"/>
  <c r="E175" i="5" s="1"/>
  <c r="F175" i="5" s="1"/>
  <c r="A176" i="5"/>
  <c r="E176" i="5" s="1"/>
  <c r="F176" i="5" s="1"/>
  <c r="A177" i="5"/>
  <c r="E177" i="5" s="1"/>
  <c r="F177" i="5" s="1"/>
  <c r="A178" i="5"/>
  <c r="E178" i="5" s="1"/>
  <c r="F178" i="5" s="1"/>
  <c r="A179" i="5"/>
  <c r="E179" i="5" s="1"/>
  <c r="F179" i="5" s="1"/>
  <c r="A180" i="5"/>
  <c r="E180" i="5" s="1"/>
  <c r="F180" i="5" s="1"/>
  <c r="A181" i="5"/>
  <c r="E181" i="5" s="1"/>
  <c r="F181" i="5" s="1"/>
  <c r="A182" i="5"/>
  <c r="E182" i="5" s="1"/>
  <c r="F182" i="5" s="1"/>
  <c r="A183" i="5"/>
  <c r="E183" i="5" s="1"/>
  <c r="F183" i="5" s="1"/>
  <c r="A184" i="5"/>
  <c r="E184" i="5" s="1"/>
  <c r="F184" i="5" s="1"/>
  <c r="A185" i="5"/>
  <c r="E185" i="5" s="1"/>
  <c r="F185" i="5" s="1"/>
  <c r="A186" i="5"/>
  <c r="E186" i="5" s="1"/>
  <c r="F186" i="5" s="1"/>
  <c r="A187" i="5"/>
  <c r="E187" i="5" s="1"/>
  <c r="F187" i="5" s="1"/>
  <c r="A188" i="5"/>
  <c r="E188" i="5" s="1"/>
  <c r="F188" i="5" s="1"/>
  <c r="A189" i="5"/>
  <c r="E189" i="5" s="1"/>
  <c r="F189" i="5" s="1"/>
  <c r="A190" i="5"/>
  <c r="E190" i="5" s="1"/>
  <c r="F190" i="5" s="1"/>
  <c r="A191" i="5"/>
  <c r="E191" i="5" s="1"/>
  <c r="F191" i="5" s="1"/>
  <c r="A192" i="5"/>
  <c r="E192" i="5" s="1"/>
  <c r="F192" i="5" s="1"/>
  <c r="A193" i="5"/>
  <c r="E193" i="5" s="1"/>
  <c r="F193" i="5" s="1"/>
  <c r="A194" i="5"/>
  <c r="E194" i="5" s="1"/>
  <c r="F194" i="5" s="1"/>
  <c r="A195" i="5"/>
  <c r="E195" i="5" s="1"/>
  <c r="F195" i="5" s="1"/>
  <c r="A196" i="5"/>
  <c r="E196" i="5" s="1"/>
  <c r="F196" i="5" s="1"/>
  <c r="A197" i="5"/>
  <c r="E197" i="5" s="1"/>
  <c r="F197" i="5" s="1"/>
  <c r="A198" i="5"/>
  <c r="E198" i="5" s="1"/>
  <c r="F198" i="5" s="1"/>
  <c r="A199" i="5"/>
  <c r="E199" i="5" s="1"/>
  <c r="F199" i="5" s="1"/>
  <c r="A200" i="5"/>
  <c r="E200" i="5" s="1"/>
  <c r="F200" i="5" s="1"/>
  <c r="A201" i="5"/>
  <c r="E201" i="5" s="1"/>
  <c r="F201" i="5" s="1"/>
  <c r="A202" i="5"/>
  <c r="E202" i="5" s="1"/>
  <c r="F202" i="5" s="1"/>
  <c r="A203" i="5"/>
  <c r="E203" i="5" s="1"/>
  <c r="F203" i="5" s="1"/>
  <c r="A204" i="5"/>
  <c r="E204" i="5" s="1"/>
  <c r="F204" i="5" s="1"/>
  <c r="A205" i="5"/>
  <c r="E205" i="5" s="1"/>
  <c r="F205" i="5" s="1"/>
  <c r="A206" i="5"/>
  <c r="E206" i="5" s="1"/>
  <c r="F206" i="5" s="1"/>
  <c r="A207" i="5"/>
  <c r="E207" i="5" s="1"/>
  <c r="F207" i="5" s="1"/>
  <c r="A208" i="5"/>
  <c r="E208" i="5" s="1"/>
  <c r="F208" i="5" s="1"/>
  <c r="A209" i="5"/>
  <c r="E209" i="5" s="1"/>
  <c r="F209" i="5" s="1"/>
  <c r="A210" i="5"/>
  <c r="E210" i="5" s="1"/>
  <c r="F210" i="5" s="1"/>
  <c r="A211" i="5"/>
  <c r="E211" i="5" s="1"/>
  <c r="F211" i="5" s="1"/>
  <c r="A212" i="5"/>
  <c r="E212" i="5" s="1"/>
  <c r="F212" i="5" s="1"/>
  <c r="A213" i="5"/>
  <c r="E213" i="5" s="1"/>
  <c r="F213" i="5" s="1"/>
  <c r="A214" i="5"/>
  <c r="E214" i="5" s="1"/>
  <c r="F214" i="5" s="1"/>
  <c r="A215" i="5"/>
  <c r="E215" i="5" s="1"/>
  <c r="F215" i="5" s="1"/>
  <c r="A216" i="5"/>
  <c r="E216" i="5" s="1"/>
  <c r="F216" i="5" s="1"/>
  <c r="A217" i="5"/>
  <c r="E217" i="5" s="1"/>
  <c r="F217" i="5" s="1"/>
  <c r="A218" i="5"/>
  <c r="E218" i="5" s="1"/>
  <c r="F218" i="5" s="1"/>
  <c r="A219" i="5"/>
  <c r="E219" i="5" s="1"/>
  <c r="F219" i="5" s="1"/>
  <c r="A220" i="5"/>
  <c r="E220" i="5" s="1"/>
  <c r="F220" i="5" s="1"/>
  <c r="A221" i="5"/>
  <c r="E221" i="5" s="1"/>
  <c r="F221" i="5" s="1"/>
  <c r="A222" i="5"/>
  <c r="E222" i="5" s="1"/>
  <c r="F222" i="5" s="1"/>
  <c r="A223" i="5"/>
  <c r="E223" i="5" s="1"/>
  <c r="F223" i="5" s="1"/>
  <c r="A224" i="5"/>
  <c r="E224" i="5" s="1"/>
  <c r="F224" i="5" s="1"/>
  <c r="A225" i="5"/>
  <c r="E225" i="5" s="1"/>
  <c r="F225" i="5" s="1"/>
  <c r="A226" i="5"/>
  <c r="E226" i="5" s="1"/>
  <c r="F226" i="5" s="1"/>
  <c r="A227" i="5"/>
  <c r="E227" i="5" s="1"/>
  <c r="F227" i="5" s="1"/>
  <c r="A228" i="5"/>
  <c r="E228" i="5" s="1"/>
  <c r="F228" i="5" s="1"/>
  <c r="A229" i="5"/>
  <c r="E229" i="5" s="1"/>
  <c r="F229" i="5" s="1"/>
  <c r="A230" i="5"/>
  <c r="E230" i="5" s="1"/>
  <c r="F230" i="5" s="1"/>
  <c r="A231" i="5"/>
  <c r="E231" i="5" s="1"/>
  <c r="F231" i="5" s="1"/>
  <c r="A232" i="5"/>
  <c r="E232" i="5" s="1"/>
  <c r="F232" i="5" s="1"/>
  <c r="A233" i="5"/>
  <c r="E233" i="5" s="1"/>
  <c r="F233" i="5" s="1"/>
  <c r="A234" i="5"/>
  <c r="E234" i="5" s="1"/>
  <c r="F234" i="5" s="1"/>
  <c r="A235" i="5"/>
  <c r="E235" i="5" s="1"/>
  <c r="F235" i="5" s="1"/>
  <c r="A236" i="5"/>
  <c r="E236" i="5" s="1"/>
  <c r="F236" i="5" s="1"/>
  <c r="A237" i="5"/>
  <c r="E237" i="5" s="1"/>
  <c r="F237" i="5" s="1"/>
  <c r="A238" i="5"/>
  <c r="E238" i="5" s="1"/>
  <c r="F238" i="5" s="1"/>
  <c r="A239" i="5"/>
  <c r="E239" i="5" s="1"/>
  <c r="F239" i="5" s="1"/>
  <c r="A240" i="5"/>
  <c r="E240" i="5" s="1"/>
  <c r="F240" i="5" s="1"/>
  <c r="A241" i="5"/>
  <c r="E241" i="5" s="1"/>
  <c r="F241" i="5" s="1"/>
  <c r="A242" i="5"/>
  <c r="E242" i="5" s="1"/>
  <c r="F242" i="5" s="1"/>
  <c r="A243" i="5"/>
  <c r="E243" i="5" s="1"/>
  <c r="F243" i="5" s="1"/>
  <c r="A244" i="5"/>
  <c r="E244" i="5" s="1"/>
  <c r="F244" i="5" s="1"/>
  <c r="A245" i="5"/>
  <c r="E245" i="5" s="1"/>
  <c r="F245" i="5" s="1"/>
  <c r="A246" i="5"/>
  <c r="E246" i="5" s="1"/>
  <c r="F246" i="5" s="1"/>
  <c r="A247" i="5"/>
  <c r="E247" i="5" s="1"/>
  <c r="F247" i="5" s="1"/>
  <c r="A248" i="5"/>
  <c r="E248" i="5" s="1"/>
  <c r="F248" i="5" s="1"/>
  <c r="A249" i="5"/>
  <c r="E249" i="5" s="1"/>
  <c r="F249" i="5" s="1"/>
  <c r="A250" i="5"/>
  <c r="E250" i="5" s="1"/>
  <c r="F250" i="5" s="1"/>
  <c r="A251" i="5"/>
  <c r="E251" i="5" s="1"/>
  <c r="F251" i="5" s="1"/>
  <c r="A252" i="5"/>
  <c r="E252" i="5" s="1"/>
  <c r="F252" i="5" s="1"/>
  <c r="A253" i="5"/>
  <c r="E253" i="5" s="1"/>
  <c r="F253" i="5" s="1"/>
  <c r="A254" i="5"/>
  <c r="E254" i="5" s="1"/>
  <c r="F254" i="5" s="1"/>
  <c r="A255" i="5"/>
  <c r="E255" i="5" s="1"/>
  <c r="F255" i="5" s="1"/>
  <c r="A256" i="5"/>
  <c r="E256" i="5" s="1"/>
  <c r="F256" i="5" s="1"/>
  <c r="A257" i="5"/>
  <c r="E257" i="5" s="1"/>
  <c r="F257" i="5" s="1"/>
  <c r="A258" i="5"/>
  <c r="E258" i="5" s="1"/>
  <c r="F258" i="5" s="1"/>
  <c r="A259" i="5"/>
  <c r="E259" i="5" s="1"/>
  <c r="F259" i="5" s="1"/>
  <c r="A260" i="5"/>
  <c r="E260" i="5" s="1"/>
  <c r="F260" i="5" s="1"/>
  <c r="A261" i="5"/>
  <c r="E261" i="5" s="1"/>
  <c r="F261" i="5" s="1"/>
  <c r="A262" i="5"/>
  <c r="E262" i="5" s="1"/>
  <c r="F262" i="5" s="1"/>
  <c r="A263" i="5"/>
  <c r="E263" i="5" s="1"/>
  <c r="F263" i="5" s="1"/>
  <c r="A264" i="5"/>
  <c r="E264" i="5" s="1"/>
  <c r="F264" i="5" s="1"/>
  <c r="A265" i="5"/>
  <c r="E265" i="5" s="1"/>
  <c r="F265" i="5" s="1"/>
  <c r="A266" i="5"/>
  <c r="E266" i="5" s="1"/>
  <c r="F266" i="5" s="1"/>
  <c r="A267" i="5"/>
  <c r="E267" i="5" s="1"/>
  <c r="F267" i="5" s="1"/>
  <c r="A268" i="5"/>
  <c r="E268" i="5" s="1"/>
  <c r="F268" i="5" s="1"/>
  <c r="A269" i="5"/>
  <c r="E269" i="5" s="1"/>
  <c r="F269" i="5" s="1"/>
  <c r="A270" i="5"/>
  <c r="E270" i="5" s="1"/>
  <c r="F270" i="5" s="1"/>
  <c r="A271" i="5"/>
  <c r="E271" i="5" s="1"/>
  <c r="F271" i="5" s="1"/>
  <c r="A272" i="5"/>
  <c r="E272" i="5" s="1"/>
  <c r="F272" i="5" s="1"/>
  <c r="A273" i="5"/>
  <c r="E273" i="5" s="1"/>
  <c r="F273" i="5" s="1"/>
  <c r="A274" i="5"/>
  <c r="E274" i="5" s="1"/>
  <c r="F274" i="5" s="1"/>
  <c r="A275" i="5"/>
  <c r="E275" i="5" s="1"/>
  <c r="F275" i="5" s="1"/>
  <c r="A276" i="5"/>
  <c r="E276" i="5" s="1"/>
  <c r="F276" i="5" s="1"/>
  <c r="A277" i="5"/>
  <c r="E277" i="5" s="1"/>
  <c r="F277" i="5" s="1"/>
  <c r="A278" i="5"/>
  <c r="E278" i="5" s="1"/>
  <c r="F278" i="5" s="1"/>
  <c r="A279" i="5"/>
  <c r="E279" i="5" s="1"/>
  <c r="F279" i="5" s="1"/>
  <c r="A280" i="5"/>
  <c r="E280" i="5" s="1"/>
  <c r="F280" i="5" s="1"/>
  <c r="A281" i="5"/>
  <c r="E281" i="5" s="1"/>
  <c r="F281" i="5" s="1"/>
  <c r="A282" i="5"/>
  <c r="E282" i="5" s="1"/>
  <c r="F282" i="5" s="1"/>
  <c r="A283" i="5"/>
  <c r="E283" i="5" s="1"/>
  <c r="F283" i="5" s="1"/>
  <c r="A284" i="5"/>
  <c r="E284" i="5" s="1"/>
  <c r="F284" i="5" s="1"/>
  <c r="A285" i="5"/>
  <c r="E285" i="5" s="1"/>
  <c r="F285" i="5" s="1"/>
  <c r="A286" i="5"/>
  <c r="E286" i="5" s="1"/>
  <c r="F286" i="5" s="1"/>
  <c r="A287" i="5"/>
  <c r="E287" i="5" s="1"/>
  <c r="F287" i="5" s="1"/>
  <c r="A288" i="5"/>
  <c r="E288" i="5" s="1"/>
  <c r="F288" i="5" s="1"/>
  <c r="A289" i="5"/>
  <c r="E289" i="5" s="1"/>
  <c r="F289" i="5" s="1"/>
  <c r="A290" i="5"/>
  <c r="E290" i="5" s="1"/>
  <c r="F290" i="5" s="1"/>
  <c r="A291" i="5"/>
  <c r="E291" i="5" s="1"/>
  <c r="F291" i="5" s="1"/>
  <c r="A292" i="5"/>
  <c r="E292" i="5" s="1"/>
  <c r="F292" i="5" s="1"/>
  <c r="A293" i="5"/>
  <c r="E293" i="5" s="1"/>
  <c r="F293" i="5" s="1"/>
  <c r="A294" i="5"/>
  <c r="E294" i="5" s="1"/>
  <c r="F294" i="5" s="1"/>
  <c r="A295" i="5"/>
  <c r="E295" i="5" s="1"/>
  <c r="F295" i="5" s="1"/>
  <c r="A296" i="5"/>
  <c r="E296" i="5" s="1"/>
  <c r="F296" i="5" s="1"/>
  <c r="A297" i="5"/>
  <c r="E297" i="5" s="1"/>
  <c r="F297" i="5" s="1"/>
  <c r="A298" i="5"/>
  <c r="E298" i="5" s="1"/>
  <c r="F298" i="5" s="1"/>
  <c r="A299" i="5"/>
  <c r="E299" i="5" s="1"/>
  <c r="F299" i="5" s="1"/>
  <c r="A300" i="5"/>
  <c r="E300" i="5" s="1"/>
  <c r="F300" i="5" s="1"/>
  <c r="A301" i="5"/>
  <c r="E301" i="5" s="1"/>
  <c r="F301" i="5" s="1"/>
  <c r="A302" i="5"/>
  <c r="E302" i="5" s="1"/>
  <c r="F302" i="5" s="1"/>
  <c r="A303" i="5"/>
  <c r="E303" i="5" s="1"/>
  <c r="F303" i="5" s="1"/>
  <c r="A304" i="5"/>
  <c r="E304" i="5" s="1"/>
  <c r="F304" i="5" s="1"/>
  <c r="A305" i="5"/>
  <c r="E305" i="5" s="1"/>
  <c r="F305" i="5" s="1"/>
  <c r="A306" i="5"/>
  <c r="E306" i="5" s="1"/>
  <c r="F306" i="5" s="1"/>
  <c r="A307" i="5"/>
  <c r="E307" i="5" s="1"/>
  <c r="F307" i="5" s="1"/>
  <c r="A308" i="5"/>
  <c r="E308" i="5" s="1"/>
  <c r="F308" i="5" s="1"/>
  <c r="A309" i="5"/>
  <c r="E309" i="5" s="1"/>
  <c r="F309" i="5" s="1"/>
  <c r="A310" i="5"/>
  <c r="E310" i="5" s="1"/>
  <c r="F310" i="5" s="1"/>
  <c r="A311" i="5"/>
  <c r="E311" i="5" s="1"/>
  <c r="F311" i="5" s="1"/>
  <c r="A312" i="5"/>
  <c r="E312" i="5" s="1"/>
  <c r="F312" i="5" s="1"/>
  <c r="A313" i="5"/>
  <c r="E313" i="5" s="1"/>
  <c r="F313" i="5" s="1"/>
  <c r="A314" i="5"/>
  <c r="E314" i="5" s="1"/>
  <c r="F314" i="5" s="1"/>
  <c r="A315" i="5"/>
  <c r="E315" i="5" s="1"/>
  <c r="F315" i="5" s="1"/>
  <c r="A316" i="5"/>
  <c r="E316" i="5" s="1"/>
  <c r="F316" i="5" s="1"/>
  <c r="A317" i="5"/>
  <c r="E317" i="5" s="1"/>
  <c r="F317" i="5" s="1"/>
  <c r="A318" i="5"/>
  <c r="E318" i="5" s="1"/>
  <c r="F318" i="5" s="1"/>
  <c r="A319" i="5"/>
  <c r="E319" i="5" s="1"/>
  <c r="F319" i="5" s="1"/>
  <c r="A320" i="5"/>
  <c r="E320" i="5" s="1"/>
  <c r="F320" i="5" s="1"/>
  <c r="A321" i="5"/>
  <c r="E321" i="5" s="1"/>
  <c r="F321" i="5" s="1"/>
  <c r="A322" i="5"/>
  <c r="E322" i="5" s="1"/>
  <c r="F322" i="5" s="1"/>
  <c r="A323" i="5"/>
  <c r="E323" i="5" s="1"/>
  <c r="F323" i="5" s="1"/>
  <c r="A324" i="5"/>
  <c r="E324" i="5" s="1"/>
  <c r="F324" i="5" s="1"/>
  <c r="A325" i="5"/>
  <c r="E325" i="5" s="1"/>
  <c r="F325" i="5" s="1"/>
  <c r="A326" i="5"/>
  <c r="E326" i="5" s="1"/>
  <c r="F326" i="5" s="1"/>
  <c r="A327" i="5"/>
  <c r="E327" i="5" s="1"/>
  <c r="F327" i="5" s="1"/>
  <c r="A328" i="5"/>
  <c r="E328" i="5" s="1"/>
  <c r="F328" i="5" s="1"/>
  <c r="A329" i="5"/>
  <c r="E329" i="5" s="1"/>
  <c r="F329" i="5" s="1"/>
  <c r="A330" i="5"/>
  <c r="E330" i="5" s="1"/>
  <c r="F330" i="5" s="1"/>
  <c r="A331" i="5"/>
  <c r="E331" i="5" s="1"/>
  <c r="F331" i="5" s="1"/>
  <c r="A332" i="5"/>
  <c r="E332" i="5" s="1"/>
  <c r="F332" i="5" s="1"/>
  <c r="A333" i="5"/>
  <c r="E333" i="5" s="1"/>
  <c r="F333" i="5" s="1"/>
  <c r="A334" i="5"/>
  <c r="E334" i="5" s="1"/>
  <c r="F334" i="5" s="1"/>
  <c r="A335" i="5"/>
  <c r="E335" i="5" s="1"/>
  <c r="F335" i="5" s="1"/>
  <c r="A336" i="5"/>
  <c r="E336" i="5" s="1"/>
  <c r="F336" i="5" s="1"/>
  <c r="A337" i="5"/>
  <c r="E337" i="5" s="1"/>
  <c r="F337" i="5" s="1"/>
  <c r="A338" i="5"/>
  <c r="E338" i="5" s="1"/>
  <c r="F338" i="5" s="1"/>
  <c r="A339" i="5"/>
  <c r="E339" i="5" s="1"/>
  <c r="F339" i="5" s="1"/>
  <c r="A340" i="5"/>
  <c r="E340" i="5" s="1"/>
  <c r="F340" i="5" s="1"/>
  <c r="A341" i="5"/>
  <c r="E341" i="5" s="1"/>
  <c r="F341" i="5" s="1"/>
  <c r="A342" i="5"/>
  <c r="E342" i="5" s="1"/>
  <c r="F342" i="5" s="1"/>
  <c r="A343" i="5"/>
  <c r="E343" i="5" s="1"/>
  <c r="F343" i="5" s="1"/>
  <c r="A344" i="5"/>
  <c r="E344" i="5" s="1"/>
  <c r="F344" i="5" s="1"/>
  <c r="A345" i="5"/>
  <c r="E345" i="5" s="1"/>
  <c r="F345" i="5" s="1"/>
  <c r="A346" i="5"/>
  <c r="E346" i="5" s="1"/>
  <c r="F346" i="5" s="1"/>
  <c r="A347" i="5"/>
  <c r="E347" i="5" s="1"/>
  <c r="F347" i="5" s="1"/>
  <c r="A348" i="5"/>
  <c r="E348" i="5" s="1"/>
  <c r="F348" i="5" s="1"/>
  <c r="A349" i="5"/>
  <c r="E349" i="5" s="1"/>
  <c r="F349" i="5" s="1"/>
  <c r="A350" i="5"/>
  <c r="E350" i="5" s="1"/>
  <c r="F350" i="5" s="1"/>
  <c r="A351" i="5"/>
  <c r="E351" i="5" s="1"/>
  <c r="F351" i="5" s="1"/>
  <c r="A352" i="5"/>
  <c r="E352" i="5" s="1"/>
  <c r="F352" i="5" s="1"/>
  <c r="A353" i="5"/>
  <c r="E353" i="5" s="1"/>
  <c r="F353" i="5" s="1"/>
  <c r="A354" i="5"/>
  <c r="E354" i="5" s="1"/>
  <c r="F354" i="5" s="1"/>
  <c r="A355" i="5"/>
  <c r="E355" i="5" s="1"/>
  <c r="F355" i="5" s="1"/>
  <c r="A356" i="5"/>
  <c r="E356" i="5" s="1"/>
  <c r="F356" i="5" s="1"/>
  <c r="A357" i="5"/>
  <c r="E357" i="5" s="1"/>
  <c r="F357" i="5" s="1"/>
  <c r="A358" i="5"/>
  <c r="E358" i="5" s="1"/>
  <c r="F358" i="5" s="1"/>
  <c r="A359" i="5"/>
  <c r="E359" i="5" s="1"/>
  <c r="F359" i="5" s="1"/>
  <c r="A360" i="5"/>
  <c r="E360" i="5" s="1"/>
  <c r="F360" i="5" s="1"/>
  <c r="A361" i="5"/>
  <c r="E361" i="5" s="1"/>
  <c r="F361" i="5" s="1"/>
  <c r="A362" i="5"/>
  <c r="E362" i="5" s="1"/>
  <c r="F362" i="5" s="1"/>
  <c r="A363" i="5"/>
  <c r="E363" i="5" s="1"/>
  <c r="F363" i="5" s="1"/>
  <c r="A364" i="5"/>
  <c r="E364" i="5" s="1"/>
  <c r="F364" i="5" s="1"/>
  <c r="A365" i="5"/>
  <c r="E365" i="5" s="1"/>
  <c r="F365" i="5" s="1"/>
  <c r="A366" i="5"/>
  <c r="E366" i="5" s="1"/>
  <c r="F366" i="5" s="1"/>
  <c r="A367" i="5"/>
  <c r="E367" i="5" s="1"/>
  <c r="F367" i="5" s="1"/>
  <c r="A368" i="5"/>
  <c r="E368" i="5" s="1"/>
  <c r="F368" i="5" s="1"/>
  <c r="A369" i="5"/>
  <c r="E369" i="5" s="1"/>
  <c r="F369" i="5" s="1"/>
  <c r="A370" i="5"/>
  <c r="E370" i="5" s="1"/>
  <c r="F370" i="5" s="1"/>
  <c r="A371" i="5"/>
  <c r="E371" i="5" s="1"/>
  <c r="F371" i="5" s="1"/>
  <c r="A372" i="5"/>
  <c r="E372" i="5" s="1"/>
  <c r="F372" i="5" s="1"/>
  <c r="A373" i="5"/>
  <c r="E373" i="5" s="1"/>
  <c r="F373" i="5" s="1"/>
  <c r="A374" i="5"/>
  <c r="E374" i="5" s="1"/>
  <c r="F374" i="5" s="1"/>
  <c r="A375" i="5"/>
  <c r="E375" i="5" s="1"/>
  <c r="F375" i="5" s="1"/>
  <c r="A376" i="5"/>
  <c r="E376" i="5" s="1"/>
  <c r="F376" i="5" s="1"/>
  <c r="A377" i="5"/>
  <c r="E377" i="5" s="1"/>
  <c r="F377" i="5" s="1"/>
  <c r="A378" i="5"/>
  <c r="E378" i="5" s="1"/>
  <c r="F378" i="5" s="1"/>
  <c r="A379" i="5"/>
  <c r="E379" i="5" s="1"/>
  <c r="F379" i="5" s="1"/>
  <c r="A380" i="5"/>
  <c r="E380" i="5" s="1"/>
  <c r="F380" i="5" s="1"/>
  <c r="A381" i="5"/>
  <c r="E381" i="5" s="1"/>
  <c r="F381" i="5" s="1"/>
  <c r="A382" i="5"/>
  <c r="E382" i="5" s="1"/>
  <c r="F382" i="5" s="1"/>
  <c r="A383" i="5"/>
  <c r="E383" i="5" s="1"/>
  <c r="F383" i="5" s="1"/>
  <c r="A384" i="5"/>
  <c r="E384" i="5" s="1"/>
  <c r="F384" i="5" s="1"/>
  <c r="A385" i="5"/>
  <c r="E385" i="5" s="1"/>
  <c r="F385" i="5" s="1"/>
  <c r="A386" i="5"/>
  <c r="E386" i="5" s="1"/>
  <c r="F386" i="5" s="1"/>
  <c r="A387" i="5"/>
  <c r="E387" i="5" s="1"/>
  <c r="F387" i="5" s="1"/>
  <c r="A388" i="5"/>
  <c r="E388" i="5" s="1"/>
  <c r="F388" i="5" s="1"/>
  <c r="A389" i="5"/>
  <c r="E389" i="5" s="1"/>
  <c r="F389" i="5" s="1"/>
  <c r="A390" i="5"/>
  <c r="E390" i="5" s="1"/>
  <c r="F390" i="5" s="1"/>
  <c r="A391" i="5"/>
  <c r="E391" i="5" s="1"/>
  <c r="F391" i="5" s="1"/>
  <c r="A392" i="5"/>
  <c r="E392" i="5" s="1"/>
  <c r="F392" i="5" s="1"/>
  <c r="A393" i="5"/>
  <c r="E393" i="5" s="1"/>
  <c r="F393" i="5" s="1"/>
  <c r="A394" i="5"/>
  <c r="E394" i="5" s="1"/>
  <c r="F394" i="5" s="1"/>
  <c r="A395" i="5"/>
  <c r="E395" i="5" s="1"/>
  <c r="F395" i="5" s="1"/>
  <c r="A396" i="5"/>
  <c r="E396" i="5" s="1"/>
  <c r="F396" i="5" s="1"/>
  <c r="A397" i="5"/>
  <c r="E397" i="5" s="1"/>
  <c r="F397" i="5" s="1"/>
  <c r="A398" i="5"/>
  <c r="E398" i="5" s="1"/>
  <c r="F398" i="5" s="1"/>
  <c r="A399" i="5"/>
  <c r="E399" i="5" s="1"/>
  <c r="F399" i="5" s="1"/>
  <c r="A400" i="5"/>
  <c r="E400" i="5" s="1"/>
  <c r="F400" i="5" s="1"/>
  <c r="A401" i="5"/>
  <c r="E401" i="5" s="1"/>
  <c r="F401" i="5" s="1"/>
  <c r="A2" i="5"/>
  <c r="E2" i="5" s="1"/>
  <c r="F2" i="5" s="1"/>
  <c r="B50" i="4"/>
  <c r="A54" i="4" s="1"/>
  <c r="E44" i="4"/>
  <c r="D44" i="4"/>
  <c r="B41" i="4"/>
  <c r="E42" i="4" s="1"/>
  <c r="D28" i="4"/>
  <c r="D27" i="4"/>
  <c r="D26" i="4"/>
  <c r="B28" i="4"/>
  <c r="C28" i="4" s="1"/>
  <c r="B27" i="4"/>
  <c r="C27" i="4" s="1"/>
  <c r="B26" i="4"/>
  <c r="C26" i="4" s="1"/>
  <c r="D25" i="4"/>
  <c r="D24" i="4"/>
  <c r="D23" i="4"/>
  <c r="B25" i="4"/>
  <c r="C25" i="4" s="1"/>
  <c r="B24" i="4"/>
  <c r="C24" i="4" s="1"/>
  <c r="B23" i="4"/>
  <c r="C23" i="4" s="1"/>
  <c r="C14" i="4"/>
  <c r="D14" i="4" s="1"/>
  <c r="A14" i="4"/>
  <c r="A6" i="4"/>
  <c r="C6" i="4"/>
  <c r="D6" i="4" s="1"/>
  <c r="C820" i="3"/>
  <c r="C821" i="3"/>
  <c r="C822" i="3"/>
  <c r="C823" i="3"/>
  <c r="C824" i="3"/>
  <c r="C819" i="3"/>
  <c r="D818" i="3"/>
  <c r="B820" i="3"/>
  <c r="B821" i="3"/>
  <c r="B822" i="3"/>
  <c r="B823" i="3"/>
  <c r="B824" i="3"/>
  <c r="B819" i="3"/>
  <c r="D807" i="3"/>
  <c r="C809" i="3"/>
  <c r="C810" i="3"/>
  <c r="C811" i="3"/>
  <c r="C812" i="3"/>
  <c r="C813" i="3"/>
  <c r="C808" i="3"/>
  <c r="B809" i="3"/>
  <c r="B810" i="3"/>
  <c r="B811" i="3"/>
  <c r="B812" i="3"/>
  <c r="B813" i="3"/>
  <c r="B808" i="3"/>
  <c r="B802" i="3"/>
  <c r="B801" i="3"/>
  <c r="B800" i="3"/>
  <c r="C771" i="3"/>
  <c r="A797" i="3"/>
  <c r="A796" i="3"/>
  <c r="C791" i="3"/>
  <c r="C789" i="3"/>
  <c r="C784" i="3"/>
  <c r="F785" i="3"/>
  <c r="F784" i="3"/>
  <c r="F776" i="3"/>
  <c r="C779" i="3"/>
  <c r="C778" i="3"/>
  <c r="C777" i="3"/>
  <c r="C776" i="3"/>
  <c r="B770" i="3"/>
  <c r="A770" i="3"/>
  <c r="G760" i="3"/>
  <c r="H760" i="3" s="1"/>
  <c r="B763" i="3"/>
  <c r="B764" i="3"/>
  <c r="B765" i="3"/>
  <c r="B762" i="3"/>
  <c r="F759" i="3" s="1"/>
  <c r="B761" i="3"/>
  <c r="B760" i="3"/>
  <c r="E759" i="3" s="1"/>
  <c r="B759" i="3"/>
  <c r="C759" i="3"/>
  <c r="D759" i="3"/>
  <c r="G759" i="3" s="1"/>
  <c r="H759" i="3" s="1"/>
  <c r="H748" i="3"/>
  <c r="F752" i="3"/>
  <c r="G750" i="3"/>
  <c r="G751" i="3"/>
  <c r="G749" i="3"/>
  <c r="D750" i="3"/>
  <c r="D751" i="3"/>
  <c r="D752" i="3"/>
  <c r="D749" i="3"/>
  <c r="C753" i="3"/>
  <c r="F743" i="3"/>
  <c r="F744" i="3"/>
  <c r="F742" i="3"/>
  <c r="C745" i="3"/>
  <c r="D745" i="3"/>
  <c r="E745" i="3"/>
  <c r="B745" i="3"/>
  <c r="E725" i="3"/>
  <c r="D727" i="3"/>
  <c r="E727" i="3"/>
  <c r="E728" i="3"/>
  <c r="E729" i="3"/>
  <c r="E726" i="3"/>
  <c r="D728" i="3"/>
  <c r="D726" i="3"/>
  <c r="D725" i="3"/>
  <c r="D729" i="3"/>
  <c r="B716" i="3"/>
  <c r="C717" i="3" s="1"/>
  <c r="A716" i="3"/>
  <c r="C716" i="3" s="1"/>
  <c r="G702" i="3"/>
  <c r="E703" i="3"/>
  <c r="F703" i="3" s="1"/>
  <c r="E704" i="3"/>
  <c r="F704" i="3" s="1"/>
  <c r="E705" i="3"/>
  <c r="F705" i="3" s="1"/>
  <c r="E706" i="3"/>
  <c r="F706" i="3" s="1"/>
  <c r="E707" i="3"/>
  <c r="F707" i="3" s="1"/>
  <c r="E702" i="3"/>
  <c r="F702" i="3" s="1"/>
  <c r="C703" i="3"/>
  <c r="C704" i="3"/>
  <c r="C705" i="3"/>
  <c r="C706" i="3"/>
  <c r="C707" i="3"/>
  <c r="B708" i="3"/>
  <c r="C702" i="3"/>
  <c r="B691" i="3"/>
  <c r="E687" i="3"/>
  <c r="E688" i="3"/>
  <c r="E689" i="3"/>
  <c r="E690" i="3"/>
  <c r="E686" i="3"/>
  <c r="C686" i="3"/>
  <c r="C687" i="3" s="1"/>
  <c r="D686" i="3" s="1"/>
  <c r="B658" i="3"/>
  <c r="B659" i="3"/>
  <c r="B660" i="3"/>
  <c r="B661" i="3"/>
  <c r="B662" i="3"/>
  <c r="C656" i="3"/>
  <c r="B657" i="3"/>
  <c r="F646" i="3"/>
  <c r="B650" i="3" s="1"/>
  <c r="C636" i="3"/>
  <c r="B638" i="3"/>
  <c r="B639" i="3"/>
  <c r="B640" i="3"/>
  <c r="B641" i="3"/>
  <c r="B642" i="3"/>
  <c r="B637" i="3"/>
  <c r="H636" i="3"/>
  <c r="C626" i="3"/>
  <c r="B628" i="3"/>
  <c r="B629" i="3"/>
  <c r="B630" i="3"/>
  <c r="B631" i="3"/>
  <c r="B632" i="3"/>
  <c r="B627" i="3"/>
  <c r="D616" i="3"/>
  <c r="C616" i="3"/>
  <c r="B618" i="3"/>
  <c r="B619" i="3"/>
  <c r="B620" i="3"/>
  <c r="B621" i="3"/>
  <c r="B622" i="3"/>
  <c r="B617" i="3"/>
  <c r="B607" i="3"/>
  <c r="B608" i="3"/>
  <c r="B609" i="3"/>
  <c r="B610" i="3"/>
  <c r="B611" i="3"/>
  <c r="B606" i="3"/>
  <c r="C605" i="3"/>
  <c r="B597" i="3"/>
  <c r="B598" i="3"/>
  <c r="B599" i="3"/>
  <c r="B600" i="3"/>
  <c r="B601" i="3"/>
  <c r="B596" i="3"/>
  <c r="C595" i="3"/>
  <c r="B589" i="3"/>
  <c r="B590" i="3"/>
  <c r="B588" i="3"/>
  <c r="B587" i="3"/>
  <c r="A584" i="3"/>
  <c r="A583" i="3"/>
  <c r="A579" i="3"/>
  <c r="A578" i="3"/>
  <c r="A574" i="3"/>
  <c r="A573" i="3"/>
  <c r="C569" i="3"/>
  <c r="C568" i="3"/>
  <c r="C567" i="3"/>
  <c r="B568" i="3"/>
  <c r="A568" i="3"/>
  <c r="B567" i="3"/>
  <c r="B569" i="3"/>
  <c r="A569" i="3"/>
  <c r="A567" i="3"/>
  <c r="D560" i="3"/>
  <c r="D559" i="3"/>
  <c r="K559" i="3"/>
  <c r="C561" i="3"/>
  <c r="B561" i="3"/>
  <c r="B555" i="3"/>
  <c r="A555" i="3"/>
  <c r="C552" i="3"/>
  <c r="B552" i="3"/>
  <c r="A552" i="3"/>
  <c r="C551" i="3"/>
  <c r="B551" i="3"/>
  <c r="A551" i="3"/>
  <c r="E547" i="3"/>
  <c r="G547" i="3" s="1"/>
  <c r="D547" i="3"/>
  <c r="F547" i="3"/>
  <c r="B538" i="3"/>
  <c r="C538" i="3" s="1"/>
  <c r="B539" i="3"/>
  <c r="C539" i="3" s="1"/>
  <c r="B540" i="3"/>
  <c r="C540" i="3" s="1"/>
  <c r="B541" i="3"/>
  <c r="C541" i="3" s="1"/>
  <c r="B542" i="3"/>
  <c r="C542" i="3" s="1"/>
  <c r="B537" i="3"/>
  <c r="C537" i="3" s="1"/>
  <c r="C534" i="3"/>
  <c r="E528" i="3"/>
  <c r="C530" i="3" s="1"/>
  <c r="E527" i="3"/>
  <c r="C529" i="3" s="1"/>
  <c r="G520" i="3"/>
  <c r="L460" i="3"/>
  <c r="L461" i="3" s="1"/>
  <c r="C525" i="3"/>
  <c r="W472" i="3"/>
  <c r="W473" i="3" s="1"/>
  <c r="W474" i="3" s="1"/>
  <c r="C466" i="3"/>
  <c r="D466" i="3" s="1"/>
  <c r="C467" i="3"/>
  <c r="D467" i="3" s="1"/>
  <c r="C468" i="3"/>
  <c r="D468" i="3" s="1"/>
  <c r="C469" i="3"/>
  <c r="D469" i="3" s="1"/>
  <c r="C470" i="3"/>
  <c r="D470" i="3" s="1"/>
  <c r="C471" i="3"/>
  <c r="D471" i="3" s="1"/>
  <c r="C472" i="3"/>
  <c r="D472" i="3" s="1"/>
  <c r="C473" i="3"/>
  <c r="D473" i="3" s="1"/>
  <c r="C474" i="3"/>
  <c r="D474" i="3" s="1"/>
  <c r="C475" i="3"/>
  <c r="D475" i="3" s="1"/>
  <c r="C476" i="3"/>
  <c r="D476" i="3" s="1"/>
  <c r="C477" i="3"/>
  <c r="D477" i="3" s="1"/>
  <c r="C478" i="3"/>
  <c r="D478" i="3" s="1"/>
  <c r="C479" i="3"/>
  <c r="D479" i="3" s="1"/>
  <c r="C480" i="3"/>
  <c r="D480" i="3" s="1"/>
  <c r="C481" i="3"/>
  <c r="D481" i="3" s="1"/>
  <c r="C482" i="3"/>
  <c r="D482" i="3" s="1"/>
  <c r="C483" i="3"/>
  <c r="D483" i="3" s="1"/>
  <c r="C484" i="3"/>
  <c r="D484" i="3" s="1"/>
  <c r="C485" i="3"/>
  <c r="D485" i="3" s="1"/>
  <c r="C486" i="3"/>
  <c r="D486" i="3" s="1"/>
  <c r="C487" i="3"/>
  <c r="D487" i="3" s="1"/>
  <c r="C488" i="3"/>
  <c r="D488" i="3" s="1"/>
  <c r="C489" i="3"/>
  <c r="D489" i="3" s="1"/>
  <c r="C490" i="3"/>
  <c r="D490" i="3" s="1"/>
  <c r="C491" i="3"/>
  <c r="D491" i="3" s="1"/>
  <c r="C492" i="3"/>
  <c r="D492" i="3" s="1"/>
  <c r="C493" i="3"/>
  <c r="D493" i="3" s="1"/>
  <c r="C494" i="3"/>
  <c r="D494" i="3" s="1"/>
  <c r="C495" i="3"/>
  <c r="D495" i="3" s="1"/>
  <c r="C496" i="3"/>
  <c r="D496" i="3" s="1"/>
  <c r="C497" i="3"/>
  <c r="D497" i="3" s="1"/>
  <c r="C498" i="3"/>
  <c r="D498" i="3" s="1"/>
  <c r="C499" i="3"/>
  <c r="D499" i="3" s="1"/>
  <c r="C500" i="3"/>
  <c r="D500" i="3" s="1"/>
  <c r="C501" i="3"/>
  <c r="D501" i="3" s="1"/>
  <c r="C502" i="3"/>
  <c r="D502" i="3" s="1"/>
  <c r="C503" i="3"/>
  <c r="D503" i="3" s="1"/>
  <c r="C504" i="3"/>
  <c r="D504" i="3" s="1"/>
  <c r="C505" i="3"/>
  <c r="D505" i="3" s="1"/>
  <c r="C506" i="3"/>
  <c r="D506" i="3" s="1"/>
  <c r="C507" i="3"/>
  <c r="D507" i="3" s="1"/>
  <c r="C508" i="3"/>
  <c r="D508" i="3" s="1"/>
  <c r="C509" i="3"/>
  <c r="D509" i="3" s="1"/>
  <c r="C510" i="3"/>
  <c r="D510" i="3" s="1"/>
  <c r="C511" i="3"/>
  <c r="D511" i="3" s="1"/>
  <c r="C512" i="3"/>
  <c r="D512" i="3" s="1"/>
  <c r="C513" i="3"/>
  <c r="D513" i="3" s="1"/>
  <c r="C514" i="3"/>
  <c r="D514" i="3" s="1"/>
  <c r="C515" i="3"/>
  <c r="D515" i="3" s="1"/>
  <c r="C465" i="3"/>
  <c r="D465" i="3" s="1"/>
  <c r="B465" i="3"/>
  <c r="G465" i="3" s="1"/>
  <c r="B466" i="3"/>
  <c r="G466" i="3" s="1"/>
  <c r="B467" i="3"/>
  <c r="F467" i="3" s="1"/>
  <c r="B468" i="3"/>
  <c r="F468" i="3" s="1"/>
  <c r="B469" i="3"/>
  <c r="G469" i="3" s="1"/>
  <c r="B470" i="3"/>
  <c r="F470" i="3" s="1"/>
  <c r="B471" i="3"/>
  <c r="F471" i="3" s="1"/>
  <c r="B472" i="3"/>
  <c r="F472" i="3" s="1"/>
  <c r="B473" i="3"/>
  <c r="G473" i="3" s="1"/>
  <c r="B474" i="3"/>
  <c r="G474" i="3" s="1"/>
  <c r="B475" i="3"/>
  <c r="F475" i="3" s="1"/>
  <c r="B476" i="3"/>
  <c r="F476" i="3" s="1"/>
  <c r="B477" i="3"/>
  <c r="G477" i="3" s="1"/>
  <c r="B478" i="3"/>
  <c r="F478" i="3" s="1"/>
  <c r="B479" i="3"/>
  <c r="F479" i="3" s="1"/>
  <c r="B480" i="3"/>
  <c r="F480" i="3" s="1"/>
  <c r="B481" i="3"/>
  <c r="G481" i="3" s="1"/>
  <c r="B482" i="3"/>
  <c r="G482" i="3" s="1"/>
  <c r="B483" i="3"/>
  <c r="F483" i="3" s="1"/>
  <c r="B484" i="3"/>
  <c r="F484" i="3" s="1"/>
  <c r="B485" i="3"/>
  <c r="G485" i="3" s="1"/>
  <c r="B486" i="3"/>
  <c r="F486" i="3" s="1"/>
  <c r="B487" i="3"/>
  <c r="F487" i="3" s="1"/>
  <c r="B488" i="3"/>
  <c r="F488" i="3" s="1"/>
  <c r="B489" i="3"/>
  <c r="G489" i="3" s="1"/>
  <c r="B490" i="3"/>
  <c r="G490" i="3" s="1"/>
  <c r="B491" i="3"/>
  <c r="F491" i="3" s="1"/>
  <c r="B492" i="3"/>
  <c r="F492" i="3" s="1"/>
  <c r="B493" i="3"/>
  <c r="G493" i="3" s="1"/>
  <c r="B494" i="3"/>
  <c r="F494" i="3" s="1"/>
  <c r="B495" i="3"/>
  <c r="F495" i="3" s="1"/>
  <c r="B496" i="3"/>
  <c r="F496" i="3" s="1"/>
  <c r="B497" i="3"/>
  <c r="G497" i="3" s="1"/>
  <c r="B498" i="3"/>
  <c r="G498" i="3" s="1"/>
  <c r="B499" i="3"/>
  <c r="F499" i="3" s="1"/>
  <c r="B500" i="3"/>
  <c r="F500" i="3" s="1"/>
  <c r="B501" i="3"/>
  <c r="G501" i="3" s="1"/>
  <c r="B502" i="3"/>
  <c r="F502" i="3" s="1"/>
  <c r="B503" i="3"/>
  <c r="F503" i="3" s="1"/>
  <c r="B504" i="3"/>
  <c r="F504" i="3" s="1"/>
  <c r="B505" i="3"/>
  <c r="G505" i="3" s="1"/>
  <c r="B506" i="3"/>
  <c r="G506" i="3" s="1"/>
  <c r="B507" i="3"/>
  <c r="F507" i="3" s="1"/>
  <c r="B508" i="3"/>
  <c r="F508" i="3" s="1"/>
  <c r="B509" i="3"/>
  <c r="G509" i="3" s="1"/>
  <c r="B510" i="3"/>
  <c r="F510" i="3" s="1"/>
  <c r="B511" i="3"/>
  <c r="F511" i="3" s="1"/>
  <c r="B512" i="3"/>
  <c r="F512" i="3" s="1"/>
  <c r="B513" i="3"/>
  <c r="G513" i="3" s="1"/>
  <c r="B514" i="3"/>
  <c r="G514" i="3" s="1"/>
  <c r="B515" i="3"/>
  <c r="F515" i="3" s="1"/>
  <c r="D454" i="3"/>
  <c r="G454" i="3" s="1"/>
  <c r="D456" i="3"/>
  <c r="G456" i="3" s="1"/>
  <c r="D455" i="3"/>
  <c r="F455" i="3" s="1"/>
  <c r="D453" i="3"/>
  <c r="G453" i="3" s="1"/>
  <c r="D452" i="3"/>
  <c r="A452" i="3"/>
  <c r="A451" i="3"/>
  <c r="C446" i="3"/>
  <c r="D446" i="3" s="1"/>
  <c r="C445" i="3"/>
  <c r="D445" i="3" s="1"/>
  <c r="B447" i="3"/>
  <c r="D437" i="3"/>
  <c r="E437" i="3" s="1"/>
  <c r="C438" i="3"/>
  <c r="C437" i="3"/>
  <c r="B438" i="3"/>
  <c r="B437" i="3"/>
  <c r="A438" i="3"/>
  <c r="A437" i="3"/>
  <c r="B433" i="3"/>
  <c r="C433" i="3" s="1"/>
  <c r="A433" i="3"/>
  <c r="C432" i="3"/>
  <c r="B432" i="3"/>
  <c r="A432" i="3"/>
  <c r="A428" i="3"/>
  <c r="A427" i="3"/>
  <c r="A413" i="3"/>
  <c r="B413" i="3"/>
  <c r="C413" i="3"/>
  <c r="A414" i="3"/>
  <c r="B414" i="3"/>
  <c r="A418" i="3"/>
  <c r="B418" i="3"/>
  <c r="A419" i="3"/>
  <c r="B419" i="3"/>
  <c r="A423" i="3"/>
  <c r="B423" i="3"/>
  <c r="A424" i="3"/>
  <c r="B424" i="3"/>
  <c r="D399" i="3"/>
  <c r="D398" i="3"/>
  <c r="C400" i="3"/>
  <c r="B400" i="3"/>
  <c r="E391" i="3"/>
  <c r="E392" i="3"/>
  <c r="B407" i="3" s="1"/>
  <c r="E390" i="3"/>
  <c r="C393" i="3"/>
  <c r="D393" i="3"/>
  <c r="B393" i="3"/>
  <c r="F398" i="3" s="1"/>
  <c r="E102" i="21" l="1"/>
  <c r="E103" i="21" s="1"/>
  <c r="F102" i="21"/>
  <c r="F103" i="21" s="1"/>
  <c r="F104" i="21" s="1"/>
  <c r="F786" i="3"/>
  <c r="D819" i="3"/>
  <c r="J58" i="21"/>
  <c r="J59" i="21" s="1"/>
  <c r="K58" i="21"/>
  <c r="K59" i="21" s="1"/>
  <c r="K60" i="21" s="1"/>
  <c r="H106" i="21"/>
  <c r="F106" i="21"/>
  <c r="C198" i="8"/>
  <c r="D184" i="8" s="1"/>
  <c r="D808" i="3"/>
  <c r="D753" i="3"/>
  <c r="D754" i="3" s="1"/>
  <c r="C793" i="3"/>
  <c r="C199" i="8"/>
  <c r="F184" i="8"/>
  <c r="G752" i="3"/>
  <c r="G753" i="3" s="1"/>
  <c r="B803" i="3"/>
  <c r="C179" i="8"/>
  <c r="C180" i="8" s="1"/>
  <c r="F541" i="1"/>
  <c r="G540" i="1"/>
  <c r="F559" i="3"/>
  <c r="C780" i="3"/>
  <c r="H1525" i="14"/>
  <c r="E1531" i="14" s="1"/>
  <c r="C1534" i="14" s="1"/>
  <c r="G1541" i="14" s="1"/>
  <c r="D1552" i="14" s="1"/>
  <c r="E760" i="3"/>
  <c r="C708" i="3"/>
  <c r="C709" i="3" s="1"/>
  <c r="D707" i="3" s="1"/>
  <c r="E691" i="3"/>
  <c r="E692" i="3" s="1"/>
  <c r="H688" i="3" s="1"/>
  <c r="E730" i="3"/>
  <c r="F728" i="3" s="1"/>
  <c r="B766" i="3"/>
  <c r="F560" i="3"/>
  <c r="C617" i="3"/>
  <c r="C760" i="3"/>
  <c r="C761" i="3" s="1"/>
  <c r="C762" i="3" s="1"/>
  <c r="C763" i="3" s="1"/>
  <c r="C764" i="3" s="1"/>
  <c r="C765" i="3" s="1"/>
  <c r="H1602" i="14"/>
  <c r="E1608" i="14" s="1"/>
  <c r="C1611" i="14" s="1"/>
  <c r="C13" i="8"/>
  <c r="C14" i="8" s="1"/>
  <c r="C28" i="8"/>
  <c r="C29" i="8" s="1"/>
  <c r="C178" i="19"/>
  <c r="E178" i="19" s="1"/>
  <c r="F171" i="19"/>
  <c r="H405" i="14"/>
  <c r="E411" i="14" s="1"/>
  <c r="C414" i="14" s="1"/>
  <c r="H1217" i="14"/>
  <c r="E1227" i="14" s="1"/>
  <c r="H1116" i="14"/>
  <c r="H1033" i="14"/>
  <c r="H937" i="14"/>
  <c r="H178" i="14"/>
  <c r="H825" i="14"/>
  <c r="H438" i="14"/>
  <c r="E444" i="14" s="1"/>
  <c r="C447" i="14" s="1"/>
  <c r="H94" i="14"/>
  <c r="E100" i="14" s="1"/>
  <c r="C107" i="14" s="1"/>
  <c r="H55" i="14"/>
  <c r="E61" i="14" s="1"/>
  <c r="C68" i="14" s="1"/>
  <c r="H568" i="14"/>
  <c r="E574" i="14" s="1"/>
  <c r="C577" i="14" s="1"/>
  <c r="H500" i="14"/>
  <c r="H32" i="14"/>
  <c r="G37" i="14" s="1"/>
  <c r="H250" i="14"/>
  <c r="E256" i="14" s="1"/>
  <c r="C263" i="14" s="1"/>
  <c r="C180" i="14"/>
  <c r="A204" i="14"/>
  <c r="K20" i="19"/>
  <c r="C25" i="19"/>
  <c r="E25" i="19" s="1"/>
  <c r="F52" i="19"/>
  <c r="C59" i="19"/>
  <c r="E59" i="19" s="1"/>
  <c r="K112" i="19"/>
  <c r="C117" i="19"/>
  <c r="E117" i="19" s="1"/>
  <c r="F111" i="19"/>
  <c r="F19" i="19"/>
  <c r="E14" i="14"/>
  <c r="H14" i="14"/>
  <c r="E746" i="11"/>
  <c r="E747" i="11" s="1"/>
  <c r="C755" i="11" s="1"/>
  <c r="E769" i="11"/>
  <c r="E770" i="11" s="1"/>
  <c r="C778" i="11" s="1"/>
  <c r="B540" i="11"/>
  <c r="C558" i="11" s="1"/>
  <c r="A588" i="11"/>
  <c r="B565" i="11"/>
  <c r="C584" i="11" s="1"/>
  <c r="F577" i="11"/>
  <c r="C914" i="9"/>
  <c r="E852" i="9"/>
  <c r="E853" i="9" s="1"/>
  <c r="C859" i="9" s="1"/>
  <c r="C861" i="9" s="1"/>
  <c r="C886" i="9"/>
  <c r="B891" i="9" s="1"/>
  <c r="E827" i="9"/>
  <c r="E828" i="9" s="1"/>
  <c r="C835" i="9" s="1"/>
  <c r="B837" i="9" s="1"/>
  <c r="B752" i="9"/>
  <c r="C748" i="9"/>
  <c r="B753" i="9" s="1"/>
  <c r="G744" i="9" s="1"/>
  <c r="B521" i="9"/>
  <c r="B502" i="9"/>
  <c r="E393" i="9"/>
  <c r="E361" i="9"/>
  <c r="E391" i="9"/>
  <c r="E394" i="9"/>
  <c r="E390" i="9"/>
  <c r="E392" i="9"/>
  <c r="E369" i="9"/>
  <c r="E363" i="9"/>
  <c r="E364" i="9"/>
  <c r="E366" i="9"/>
  <c r="C343" i="9"/>
  <c r="C344" i="9" s="1"/>
  <c r="E362" i="9"/>
  <c r="E367" i="9"/>
  <c r="E365" i="9"/>
  <c r="E368" i="9"/>
  <c r="C299" i="9"/>
  <c r="C300" i="9" s="1"/>
  <c r="B306" i="9" s="1"/>
  <c r="B299" i="9"/>
  <c r="B300" i="9" s="1"/>
  <c r="B304" i="9" s="1"/>
  <c r="E286" i="9"/>
  <c r="E287" i="9" s="1"/>
  <c r="F126" i="9"/>
  <c r="F127" i="9" s="1"/>
  <c r="F268" i="9"/>
  <c r="D224" i="9"/>
  <c r="B241" i="9"/>
  <c r="A182" i="9"/>
  <c r="A183" i="9"/>
  <c r="F188" i="9"/>
  <c r="F189" i="9" s="1"/>
  <c r="G132" i="9"/>
  <c r="E141" i="9"/>
  <c r="E142" i="9" s="1"/>
  <c r="B152" i="9"/>
  <c r="B151" i="9"/>
  <c r="B43" i="9"/>
  <c r="B44" i="9"/>
  <c r="C39" i="9"/>
  <c r="C40" i="9" s="1"/>
  <c r="D75" i="8"/>
  <c r="D74" i="8"/>
  <c r="C45" i="8"/>
  <c r="C46" i="8" s="1"/>
  <c r="D588" i="4"/>
  <c r="C597" i="4"/>
  <c r="C599" i="4" s="1"/>
  <c r="D456" i="4"/>
  <c r="D457" i="4" s="1"/>
  <c r="C442" i="4"/>
  <c r="C443" i="4" s="1"/>
  <c r="D442" i="4"/>
  <c r="D443" i="4" s="1"/>
  <c r="D344" i="4"/>
  <c r="D357" i="4"/>
  <c r="E319" i="4"/>
  <c r="B331" i="4"/>
  <c r="C204" i="4"/>
  <c r="C206" i="4" s="1"/>
  <c r="C207" i="4" s="1"/>
  <c r="E196" i="4"/>
  <c r="B212" i="4" s="1"/>
  <c r="B215" i="4" s="1"/>
  <c r="B217" i="4" s="1"/>
  <c r="C178" i="4"/>
  <c r="C180" i="4" s="1"/>
  <c r="A71" i="4"/>
  <c r="E72" i="4"/>
  <c r="E73" i="4" s="1"/>
  <c r="D72" i="4"/>
  <c r="D73" i="4" s="1"/>
  <c r="E102" i="4"/>
  <c r="B6" i="4"/>
  <c r="B14" i="4"/>
  <c r="C71" i="4"/>
  <c r="C72" i="4" s="1"/>
  <c r="D86" i="4"/>
  <c r="D87" i="4" s="1"/>
  <c r="B85" i="4"/>
  <c r="B86" i="4" s="1"/>
  <c r="C85" i="4"/>
  <c r="C86" i="4" s="1"/>
  <c r="A85" i="4"/>
  <c r="E86" i="4"/>
  <c r="E87" i="4" s="1"/>
  <c r="D43" i="4"/>
  <c r="D42" i="4"/>
  <c r="C42" i="4"/>
  <c r="C43" i="4" s="1"/>
  <c r="E43" i="4"/>
  <c r="B71" i="4"/>
  <c r="B72" i="4" s="1"/>
  <c r="D116" i="4"/>
  <c r="H389" i="5"/>
  <c r="H381" i="5"/>
  <c r="H365" i="5"/>
  <c r="H353" i="5"/>
  <c r="H337" i="5"/>
  <c r="H325" i="5"/>
  <c r="H309" i="5"/>
  <c r="H297" i="5"/>
  <c r="H281" i="5"/>
  <c r="H273" i="5"/>
  <c r="H257" i="5"/>
  <c r="H245" i="5"/>
  <c r="H225" i="5"/>
  <c r="H209" i="5"/>
  <c r="H189" i="5"/>
  <c r="H173" i="5"/>
  <c r="H169" i="5"/>
  <c r="H153" i="5"/>
  <c r="H133" i="5"/>
  <c r="H113" i="5"/>
  <c r="H105" i="5"/>
  <c r="H89" i="5"/>
  <c r="H69" i="5"/>
  <c r="H53" i="5"/>
  <c r="H37" i="5"/>
  <c r="H25" i="5"/>
  <c r="H13" i="5"/>
  <c r="H477" i="5"/>
  <c r="H465" i="5"/>
  <c r="H453" i="5"/>
  <c r="H441" i="5"/>
  <c r="H425" i="5"/>
  <c r="H417" i="5"/>
  <c r="H413" i="5"/>
  <c r="H395" i="5"/>
  <c r="H387" i="5"/>
  <c r="H379" i="5"/>
  <c r="H371" i="5"/>
  <c r="H363" i="5"/>
  <c r="H355" i="5"/>
  <c r="H347" i="5"/>
  <c r="H339" i="5"/>
  <c r="H331" i="5"/>
  <c r="H323" i="5"/>
  <c r="H315" i="5"/>
  <c r="H307" i="5"/>
  <c r="H299" i="5"/>
  <c r="H291" i="5"/>
  <c r="H283" i="5"/>
  <c r="H279" i="5"/>
  <c r="H271" i="5"/>
  <c r="H263" i="5"/>
  <c r="H255" i="5"/>
  <c r="H247" i="5"/>
  <c r="H239" i="5"/>
  <c r="H231" i="5"/>
  <c r="H223" i="5"/>
  <c r="H215" i="5"/>
  <c r="H207" i="5"/>
  <c r="H199" i="5"/>
  <c r="H191" i="5"/>
  <c r="H187" i="5"/>
  <c r="H179" i="5"/>
  <c r="H171" i="5"/>
  <c r="H163" i="5"/>
  <c r="H155" i="5"/>
  <c r="H147" i="5"/>
  <c r="H139" i="5"/>
  <c r="H131" i="5"/>
  <c r="H123" i="5"/>
  <c r="H111" i="5"/>
  <c r="H103" i="5"/>
  <c r="H95" i="5"/>
  <c r="H87" i="5"/>
  <c r="H79" i="5"/>
  <c r="H67" i="5"/>
  <c r="H59" i="5"/>
  <c r="H51" i="5"/>
  <c r="H43" i="5"/>
  <c r="H35" i="5"/>
  <c r="H23" i="5"/>
  <c r="H15" i="5"/>
  <c r="H7" i="5"/>
  <c r="H475" i="5"/>
  <c r="H467" i="5"/>
  <c r="H459" i="5"/>
  <c r="H451" i="5"/>
  <c r="H443" i="5"/>
  <c r="H435" i="5"/>
  <c r="H427" i="5"/>
  <c r="H419" i="5"/>
  <c r="H411" i="5"/>
  <c r="H407" i="5"/>
  <c r="H400" i="5"/>
  <c r="H396" i="5"/>
  <c r="H392" i="5"/>
  <c r="H388" i="5"/>
  <c r="H384" i="5"/>
  <c r="H380" i="5"/>
  <c r="H376" i="5"/>
  <c r="H372" i="5"/>
  <c r="H368" i="5"/>
  <c r="H364" i="5"/>
  <c r="H360" i="5"/>
  <c r="H356" i="5"/>
  <c r="H352" i="5"/>
  <c r="H348" i="5"/>
  <c r="H344" i="5"/>
  <c r="H340" i="5"/>
  <c r="H336" i="5"/>
  <c r="H332" i="5"/>
  <c r="H328" i="5"/>
  <c r="H324" i="5"/>
  <c r="H320" i="5"/>
  <c r="H316" i="5"/>
  <c r="H312" i="5"/>
  <c r="H308" i="5"/>
  <c r="H304" i="5"/>
  <c r="H300" i="5"/>
  <c r="H296" i="5"/>
  <c r="H292" i="5"/>
  <c r="H288" i="5"/>
  <c r="H284" i="5"/>
  <c r="H280" i="5"/>
  <c r="H276" i="5"/>
  <c r="H272" i="5"/>
  <c r="H268" i="5"/>
  <c r="H264" i="5"/>
  <c r="H260" i="5"/>
  <c r="H256" i="5"/>
  <c r="H252" i="5"/>
  <c r="H248" i="5"/>
  <c r="H244" i="5"/>
  <c r="H240" i="5"/>
  <c r="H236" i="5"/>
  <c r="H232" i="5"/>
  <c r="H228" i="5"/>
  <c r="H224" i="5"/>
  <c r="H220" i="5"/>
  <c r="H216" i="5"/>
  <c r="H212" i="5"/>
  <c r="H208" i="5"/>
  <c r="H204" i="5"/>
  <c r="H200" i="5"/>
  <c r="H196" i="5"/>
  <c r="H192" i="5"/>
  <c r="H188" i="5"/>
  <c r="H184" i="5"/>
  <c r="H180" i="5"/>
  <c r="H176" i="5"/>
  <c r="H172" i="5"/>
  <c r="H168" i="5"/>
  <c r="H164" i="5"/>
  <c r="H160" i="5"/>
  <c r="H156" i="5"/>
  <c r="H152" i="5"/>
  <c r="H148" i="5"/>
  <c r="H144" i="5"/>
  <c r="H140" i="5"/>
  <c r="H136" i="5"/>
  <c r="H132" i="5"/>
  <c r="H128" i="5"/>
  <c r="H124" i="5"/>
  <c r="H120" i="5"/>
  <c r="H116" i="5"/>
  <c r="H112" i="5"/>
  <c r="H108" i="5"/>
  <c r="H104" i="5"/>
  <c r="H100" i="5"/>
  <c r="H96" i="5"/>
  <c r="H92" i="5"/>
  <c r="H88" i="5"/>
  <c r="H84" i="5"/>
  <c r="H80" i="5"/>
  <c r="H76" i="5"/>
  <c r="H72" i="5"/>
  <c r="H68" i="5"/>
  <c r="H64" i="5"/>
  <c r="H60" i="5"/>
  <c r="H56" i="5"/>
  <c r="H52" i="5"/>
  <c r="H48" i="5"/>
  <c r="H44" i="5"/>
  <c r="H40" i="5"/>
  <c r="H36" i="5"/>
  <c r="H32" i="5"/>
  <c r="H28" i="5"/>
  <c r="H24" i="5"/>
  <c r="H20" i="5"/>
  <c r="H16" i="5"/>
  <c r="H12" i="5"/>
  <c r="H8" i="5"/>
  <c r="H4" i="5"/>
  <c r="H512" i="5"/>
  <c r="H508" i="5"/>
  <c r="H504" i="5"/>
  <c r="H500" i="5"/>
  <c r="H496" i="5"/>
  <c r="H492" i="5"/>
  <c r="H488" i="5"/>
  <c r="H484" i="5"/>
  <c r="H480" i="5"/>
  <c r="H476" i="5"/>
  <c r="H472" i="5"/>
  <c r="H468" i="5"/>
  <c r="H464" i="5"/>
  <c r="H460" i="5"/>
  <c r="H456" i="5"/>
  <c r="H452" i="5"/>
  <c r="H448" i="5"/>
  <c r="H444" i="5"/>
  <c r="H440" i="5"/>
  <c r="H436" i="5"/>
  <c r="H432" i="5"/>
  <c r="H428" i="5"/>
  <c r="H424" i="5"/>
  <c r="H420" i="5"/>
  <c r="H416" i="5"/>
  <c r="H412" i="5"/>
  <c r="H408" i="5"/>
  <c r="H404" i="5"/>
  <c r="H789" i="5"/>
  <c r="H765" i="5"/>
  <c r="H717" i="5"/>
  <c r="H693" i="5"/>
  <c r="H661" i="5"/>
  <c r="H625" i="5"/>
  <c r="H593" i="5"/>
  <c r="H561" i="5"/>
  <c r="H533" i="5"/>
  <c r="H513" i="5"/>
  <c r="H799" i="5"/>
  <c r="H783" i="5"/>
  <c r="H747" i="5"/>
  <c r="H731" i="5"/>
  <c r="H687" i="5"/>
  <c r="H671" i="5"/>
  <c r="H639" i="5"/>
  <c r="H623" i="5"/>
  <c r="H607" i="5"/>
  <c r="H543" i="5"/>
  <c r="H801" i="5"/>
  <c r="H791" i="5"/>
  <c r="H775" i="5"/>
  <c r="H773" i="5"/>
  <c r="H763" i="5"/>
  <c r="H755" i="5"/>
  <c r="H753" i="5"/>
  <c r="H745" i="5"/>
  <c r="H739" i="5"/>
  <c r="H733" i="5"/>
  <c r="H723" i="5"/>
  <c r="H715" i="5"/>
  <c r="H707" i="5"/>
  <c r="H703" i="5"/>
  <c r="H701" i="5"/>
  <c r="H695" i="5"/>
  <c r="H679" i="5"/>
  <c r="H677" i="5"/>
  <c r="H663" i="5"/>
  <c r="H655" i="5"/>
  <c r="H647" i="5"/>
  <c r="H645" i="5"/>
  <c r="H631" i="5"/>
  <c r="H615" i="5"/>
  <c r="H609" i="5"/>
  <c r="H599" i="5"/>
  <c r="H591" i="5"/>
  <c r="H583" i="5"/>
  <c r="H575" i="5"/>
  <c r="H573" i="5"/>
  <c r="H567" i="5"/>
  <c r="H559" i="5"/>
  <c r="H551" i="5"/>
  <c r="H545" i="5"/>
  <c r="H535" i="5"/>
  <c r="H527" i="5"/>
  <c r="H525" i="5"/>
  <c r="H515" i="5"/>
  <c r="H397" i="5"/>
  <c r="H369" i="5"/>
  <c r="H349" i="5"/>
  <c r="H329" i="5"/>
  <c r="H313" i="5"/>
  <c r="H289" i="5"/>
  <c r="H269" i="5"/>
  <c r="H253" i="5"/>
  <c r="H237" i="5"/>
  <c r="H221" i="5"/>
  <c r="H201" i="5"/>
  <c r="H185" i="5"/>
  <c r="H161" i="5"/>
  <c r="H141" i="5"/>
  <c r="H125" i="5"/>
  <c r="H101" i="5"/>
  <c r="H77" i="5"/>
  <c r="H57" i="5"/>
  <c r="H41" i="5"/>
  <c r="H17" i="5"/>
  <c r="H469" i="5"/>
  <c r="H449" i="5"/>
  <c r="H429" i="5"/>
  <c r="H405" i="5"/>
  <c r="H793" i="5"/>
  <c r="H781" i="5"/>
  <c r="H761" i="5"/>
  <c r="H741" i="5"/>
  <c r="H725" i="5"/>
  <c r="H713" i="5"/>
  <c r="H689" i="5"/>
  <c r="H665" i="5"/>
  <c r="H649" i="5"/>
  <c r="H637" i="5"/>
  <c r="H621" i="5"/>
  <c r="H597" i="5"/>
  <c r="H577" i="5"/>
  <c r="H557" i="5"/>
  <c r="H549" i="5"/>
  <c r="H529" i="5"/>
  <c r="H505" i="5"/>
  <c r="H489" i="5"/>
  <c r="H393" i="5"/>
  <c r="H373" i="5"/>
  <c r="H357" i="5"/>
  <c r="H341" i="5"/>
  <c r="H321" i="5"/>
  <c r="H301" i="5"/>
  <c r="H285" i="5"/>
  <c r="H265" i="5"/>
  <c r="H249" i="5"/>
  <c r="H233" i="5"/>
  <c r="H217" i="5"/>
  <c r="H205" i="5"/>
  <c r="H193" i="5"/>
  <c r="H177" i="5"/>
  <c r="H157" i="5"/>
  <c r="H145" i="5"/>
  <c r="H121" i="5"/>
  <c r="H97" i="5"/>
  <c r="H81" i="5"/>
  <c r="H65" i="5"/>
  <c r="H49" i="5"/>
  <c r="H33" i="5"/>
  <c r="H9" i="5"/>
  <c r="H398" i="5"/>
  <c r="H394" i="5"/>
  <c r="H390" i="5"/>
  <c r="H386" i="5"/>
  <c r="H382" i="5"/>
  <c r="H378" i="5"/>
  <c r="H374" i="5"/>
  <c r="H370" i="5"/>
  <c r="H366" i="5"/>
  <c r="H362" i="5"/>
  <c r="H358" i="5"/>
  <c r="H354" i="5"/>
  <c r="H350" i="5"/>
  <c r="H346" i="5"/>
  <c r="H342" i="5"/>
  <c r="H338" i="5"/>
  <c r="H334" i="5"/>
  <c r="H330" i="5"/>
  <c r="H326" i="5"/>
  <c r="H322" i="5"/>
  <c r="H318" i="5"/>
  <c r="H314" i="5"/>
  <c r="H310" i="5"/>
  <c r="H306" i="5"/>
  <c r="H302" i="5"/>
  <c r="H298" i="5"/>
  <c r="H294" i="5"/>
  <c r="H290" i="5"/>
  <c r="H286" i="5"/>
  <c r="H282" i="5"/>
  <c r="H278" i="5"/>
  <c r="H274" i="5"/>
  <c r="H270" i="5"/>
  <c r="H266" i="5"/>
  <c r="H262" i="5"/>
  <c r="H258" i="5"/>
  <c r="H254" i="5"/>
  <c r="H250" i="5"/>
  <c r="H246" i="5"/>
  <c r="H242" i="5"/>
  <c r="H238" i="5"/>
  <c r="H234" i="5"/>
  <c r="H230" i="5"/>
  <c r="H226" i="5"/>
  <c r="H222" i="5"/>
  <c r="H218" i="5"/>
  <c r="H214" i="5"/>
  <c r="H210" i="5"/>
  <c r="H206" i="5"/>
  <c r="H202" i="5"/>
  <c r="H198" i="5"/>
  <c r="H194" i="5"/>
  <c r="H190" i="5"/>
  <c r="H186" i="5"/>
  <c r="H182" i="5"/>
  <c r="H178" i="5"/>
  <c r="H174" i="5"/>
  <c r="H170" i="5"/>
  <c r="H166" i="5"/>
  <c r="H162" i="5"/>
  <c r="H158" i="5"/>
  <c r="H154" i="5"/>
  <c r="H150" i="5"/>
  <c r="H146" i="5"/>
  <c r="H142" i="5"/>
  <c r="H138" i="5"/>
  <c r="H134" i="5"/>
  <c r="H130" i="5"/>
  <c r="H126" i="5"/>
  <c r="H122" i="5"/>
  <c r="H118" i="5"/>
  <c r="H114" i="5"/>
  <c r="H110" i="5"/>
  <c r="H106" i="5"/>
  <c r="H102" i="5"/>
  <c r="H98" i="5"/>
  <c r="H94" i="5"/>
  <c r="H90" i="5"/>
  <c r="H86" i="5"/>
  <c r="H82" i="5"/>
  <c r="H78" i="5"/>
  <c r="H74" i="5"/>
  <c r="H70" i="5"/>
  <c r="H66" i="5"/>
  <c r="H62" i="5"/>
  <c r="H58" i="5"/>
  <c r="H54" i="5"/>
  <c r="H50" i="5"/>
  <c r="H46" i="5"/>
  <c r="H42" i="5"/>
  <c r="H38" i="5"/>
  <c r="H34" i="5"/>
  <c r="H30" i="5"/>
  <c r="H26" i="5"/>
  <c r="H22" i="5"/>
  <c r="H18" i="5"/>
  <c r="H14" i="5"/>
  <c r="H10" i="5"/>
  <c r="H6" i="5"/>
  <c r="H510" i="5"/>
  <c r="H506" i="5"/>
  <c r="H502" i="5"/>
  <c r="H498" i="5"/>
  <c r="H494" i="5"/>
  <c r="H490" i="5"/>
  <c r="H486" i="5"/>
  <c r="H482" i="5"/>
  <c r="H478" i="5"/>
  <c r="H474" i="5"/>
  <c r="H470" i="5"/>
  <c r="H466" i="5"/>
  <c r="H462" i="5"/>
  <c r="H458" i="5"/>
  <c r="H454" i="5"/>
  <c r="H450" i="5"/>
  <c r="H446" i="5"/>
  <c r="H442" i="5"/>
  <c r="H438" i="5"/>
  <c r="H434" i="5"/>
  <c r="H430" i="5"/>
  <c r="H426" i="5"/>
  <c r="H422" i="5"/>
  <c r="H418" i="5"/>
  <c r="H414" i="5"/>
  <c r="H410" i="5"/>
  <c r="H406" i="5"/>
  <c r="H402" i="5"/>
  <c r="H797" i="5"/>
  <c r="H777" i="5"/>
  <c r="H757" i="5"/>
  <c r="H737" i="5"/>
  <c r="H721" i="5"/>
  <c r="H705" i="5"/>
  <c r="H685" i="5"/>
  <c r="H669" i="5"/>
  <c r="H653" i="5"/>
  <c r="H633" i="5"/>
  <c r="H617" i="5"/>
  <c r="H605" i="5"/>
  <c r="H585" i="5"/>
  <c r="H565" i="5"/>
  <c r="H541" i="5"/>
  <c r="H517" i="5"/>
  <c r="H802" i="5"/>
  <c r="H794" i="5"/>
  <c r="H786" i="5"/>
  <c r="H778" i="5"/>
  <c r="H770" i="5"/>
  <c r="H762" i="5"/>
  <c r="H754" i="5"/>
  <c r="H746" i="5"/>
  <c r="H738" i="5"/>
  <c r="H730" i="5"/>
  <c r="H722" i="5"/>
  <c r="H714" i="5"/>
  <c r="H706" i="5"/>
  <c r="H698" i="5"/>
  <c r="H690" i="5"/>
  <c r="H682" i="5"/>
  <c r="H674" i="5"/>
  <c r="H666" i="5"/>
  <c r="H658" i="5"/>
  <c r="H650" i="5"/>
  <c r="H642" i="5"/>
  <c r="H634" i="5"/>
  <c r="H626" i="5"/>
  <c r="H618" i="5"/>
  <c r="H610" i="5"/>
  <c r="H602" i="5"/>
  <c r="H594" i="5"/>
  <c r="H586" i="5"/>
  <c r="H578" i="5"/>
  <c r="H570" i="5"/>
  <c r="H562" i="5"/>
  <c r="H554" i="5"/>
  <c r="H546" i="5"/>
  <c r="H538" i="5"/>
  <c r="H530" i="5"/>
  <c r="H522" i="5"/>
  <c r="H514" i="5"/>
  <c r="H800" i="5"/>
  <c r="H798" i="5"/>
  <c r="H796" i="5"/>
  <c r="H792" i="5"/>
  <c r="H790" i="5"/>
  <c r="H788" i="5"/>
  <c r="H784" i="5"/>
  <c r="H782" i="5"/>
  <c r="H780" i="5"/>
  <c r="H776" i="5"/>
  <c r="H774" i="5"/>
  <c r="H772" i="5"/>
  <c r="H768" i="5"/>
  <c r="H766" i="5"/>
  <c r="H764" i="5"/>
  <c r="H760" i="5"/>
  <c r="H758" i="5"/>
  <c r="H756" i="5"/>
  <c r="H752" i="5"/>
  <c r="H750" i="5"/>
  <c r="H748" i="5"/>
  <c r="H744" i="5"/>
  <c r="H742" i="5"/>
  <c r="H740" i="5"/>
  <c r="H736" i="5"/>
  <c r="H734" i="5"/>
  <c r="H732" i="5"/>
  <c r="H728" i="5"/>
  <c r="H726" i="5"/>
  <c r="H724" i="5"/>
  <c r="H720" i="5"/>
  <c r="H718" i="5"/>
  <c r="H716" i="5"/>
  <c r="H712" i="5"/>
  <c r="H710" i="5"/>
  <c r="H708" i="5"/>
  <c r="H704" i="5"/>
  <c r="H702" i="5"/>
  <c r="H700" i="5"/>
  <c r="H696" i="5"/>
  <c r="H694" i="5"/>
  <c r="H692" i="5"/>
  <c r="H688" i="5"/>
  <c r="H686" i="5"/>
  <c r="H684" i="5"/>
  <c r="H680" i="5"/>
  <c r="H678" i="5"/>
  <c r="H676" i="5"/>
  <c r="H672" i="5"/>
  <c r="H670" i="5"/>
  <c r="H668" i="5"/>
  <c r="H664" i="5"/>
  <c r="H662" i="5"/>
  <c r="H660" i="5"/>
  <c r="H656" i="5"/>
  <c r="H654" i="5"/>
  <c r="H652" i="5"/>
  <c r="H648" i="5"/>
  <c r="H646" i="5"/>
  <c r="H644" i="5"/>
  <c r="H640" i="5"/>
  <c r="H638" i="5"/>
  <c r="H636" i="5"/>
  <c r="H632" i="5"/>
  <c r="H630" i="5"/>
  <c r="H628" i="5"/>
  <c r="H624" i="5"/>
  <c r="H622" i="5"/>
  <c r="H620" i="5"/>
  <c r="H616" i="5"/>
  <c r="H614" i="5"/>
  <c r="H612" i="5"/>
  <c r="H608" i="5"/>
  <c r="H606" i="5"/>
  <c r="H604" i="5"/>
  <c r="H600" i="5"/>
  <c r="H598" i="5"/>
  <c r="H596" i="5"/>
  <c r="H592" i="5"/>
  <c r="H590" i="5"/>
  <c r="H588" i="5"/>
  <c r="H584" i="5"/>
  <c r="H582" i="5"/>
  <c r="H580" i="5"/>
  <c r="H576" i="5"/>
  <c r="H574" i="5"/>
  <c r="H572" i="5"/>
  <c r="H568" i="5"/>
  <c r="H566" i="5"/>
  <c r="H564" i="5"/>
  <c r="H560" i="5"/>
  <c r="H558" i="5"/>
  <c r="H556" i="5"/>
  <c r="H552" i="5"/>
  <c r="H550" i="5"/>
  <c r="H548" i="5"/>
  <c r="H544" i="5"/>
  <c r="H542" i="5"/>
  <c r="H540" i="5"/>
  <c r="H536" i="5"/>
  <c r="H534" i="5"/>
  <c r="H532" i="5"/>
  <c r="H528" i="5"/>
  <c r="H526" i="5"/>
  <c r="H524" i="5"/>
  <c r="H520" i="5"/>
  <c r="H518" i="5"/>
  <c r="H516" i="5"/>
  <c r="H501" i="5"/>
  <c r="H493" i="5"/>
  <c r="H485" i="5"/>
  <c r="H401" i="5"/>
  <c r="H385" i="5"/>
  <c r="H377" i="5"/>
  <c r="H361" i="5"/>
  <c r="H345" i="5"/>
  <c r="H333" i="5"/>
  <c r="H317" i="5"/>
  <c r="H305" i="5"/>
  <c r="H293" i="5"/>
  <c r="H277" i="5"/>
  <c r="H261" i="5"/>
  <c r="H241" i="5"/>
  <c r="H229" i="5"/>
  <c r="H213" i="5"/>
  <c r="H197" i="5"/>
  <c r="H181" i="5"/>
  <c r="H165" i="5"/>
  <c r="H149" i="5"/>
  <c r="H137" i="5"/>
  <c r="H129" i="5"/>
  <c r="H117" i="5"/>
  <c r="H109" i="5"/>
  <c r="H93" i="5"/>
  <c r="H85" i="5"/>
  <c r="H73" i="5"/>
  <c r="H61" i="5"/>
  <c r="H45" i="5"/>
  <c r="H29" i="5"/>
  <c r="H21" i="5"/>
  <c r="H5" i="5"/>
  <c r="H473" i="5"/>
  <c r="H461" i="5"/>
  <c r="H457" i="5"/>
  <c r="H445" i="5"/>
  <c r="H437" i="5"/>
  <c r="H433" i="5"/>
  <c r="H421" i="5"/>
  <c r="H409" i="5"/>
  <c r="H399" i="5"/>
  <c r="H391" i="5"/>
  <c r="H383" i="5"/>
  <c r="H375" i="5"/>
  <c r="H367" i="5"/>
  <c r="H359" i="5"/>
  <c r="H351" i="5"/>
  <c r="H343" i="5"/>
  <c r="H335" i="5"/>
  <c r="H327" i="5"/>
  <c r="H319" i="5"/>
  <c r="H311" i="5"/>
  <c r="H303" i="5"/>
  <c r="H295" i="5"/>
  <c r="H287" i="5"/>
  <c r="H275" i="5"/>
  <c r="H267" i="5"/>
  <c r="H259" i="5"/>
  <c r="H251" i="5"/>
  <c r="H243" i="5"/>
  <c r="H235" i="5"/>
  <c r="H227" i="5"/>
  <c r="H219" i="5"/>
  <c r="H211" i="5"/>
  <c r="H203" i="5"/>
  <c r="H195" i="5"/>
  <c r="H183" i="5"/>
  <c r="H175" i="5"/>
  <c r="H167" i="5"/>
  <c r="H159" i="5"/>
  <c r="H151" i="5"/>
  <c r="H143" i="5"/>
  <c r="H135" i="5"/>
  <c r="H127" i="5"/>
  <c r="H119" i="5"/>
  <c r="H115" i="5"/>
  <c r="H107" i="5"/>
  <c r="H99" i="5"/>
  <c r="H91" i="5"/>
  <c r="H83" i="5"/>
  <c r="H75" i="5"/>
  <c r="H71" i="5"/>
  <c r="H63" i="5"/>
  <c r="H55" i="5"/>
  <c r="H47" i="5"/>
  <c r="H39" i="5"/>
  <c r="H31" i="5"/>
  <c r="H27" i="5"/>
  <c r="H19" i="5"/>
  <c r="H11" i="5"/>
  <c r="H471" i="5"/>
  <c r="H463" i="5"/>
  <c r="H455" i="5"/>
  <c r="H447" i="5"/>
  <c r="H439" i="5"/>
  <c r="H431" i="5"/>
  <c r="H423" i="5"/>
  <c r="H415" i="5"/>
  <c r="H403" i="5"/>
  <c r="H785" i="5"/>
  <c r="H769" i="5"/>
  <c r="H749" i="5"/>
  <c r="H729" i="5"/>
  <c r="H709" i="5"/>
  <c r="H697" i="5"/>
  <c r="H681" i="5"/>
  <c r="H673" i="5"/>
  <c r="H657" i="5"/>
  <c r="H641" i="5"/>
  <c r="H629" i="5"/>
  <c r="H613" i="5"/>
  <c r="H601" i="5"/>
  <c r="H589" i="5"/>
  <c r="H581" i="5"/>
  <c r="H569" i="5"/>
  <c r="H553" i="5"/>
  <c r="H537" i="5"/>
  <c r="H521" i="5"/>
  <c r="H509" i="5"/>
  <c r="H497" i="5"/>
  <c r="H481" i="5"/>
  <c r="H795" i="5"/>
  <c r="H787" i="5"/>
  <c r="H779" i="5"/>
  <c r="H771" i="5"/>
  <c r="H767" i="5"/>
  <c r="H759" i="5"/>
  <c r="H751" i="5"/>
  <c r="H743" i="5"/>
  <c r="H735" i="5"/>
  <c r="H727" i="5"/>
  <c r="H719" i="5"/>
  <c r="H711" i="5"/>
  <c r="H699" i="5"/>
  <c r="H691" i="5"/>
  <c r="H683" i="5"/>
  <c r="H675" i="5"/>
  <c r="H667" i="5"/>
  <c r="H659" i="5"/>
  <c r="H651" i="5"/>
  <c r="H643" i="5"/>
  <c r="H635" i="5"/>
  <c r="H627" i="5"/>
  <c r="H619" i="5"/>
  <c r="H611" i="5"/>
  <c r="H603" i="5"/>
  <c r="H595" i="5"/>
  <c r="H587" i="5"/>
  <c r="H579" i="5"/>
  <c r="H571" i="5"/>
  <c r="H563" i="5"/>
  <c r="H555" i="5"/>
  <c r="H547" i="5"/>
  <c r="H539" i="5"/>
  <c r="H531" i="5"/>
  <c r="H523" i="5"/>
  <c r="H519" i="5"/>
  <c r="H511" i="5"/>
  <c r="H503" i="5"/>
  <c r="H495" i="5"/>
  <c r="H487" i="5"/>
  <c r="H479" i="5"/>
  <c r="H507" i="5"/>
  <c r="H499" i="5"/>
  <c r="H491" i="5"/>
  <c r="H483" i="5"/>
  <c r="E3" i="5"/>
  <c r="F3" i="5" s="1"/>
  <c r="H2" i="5"/>
  <c r="I2" i="5" s="1"/>
  <c r="F745" i="3"/>
  <c r="A748" i="3" s="1"/>
  <c r="B647" i="3"/>
  <c r="B648" i="3"/>
  <c r="B562" i="3"/>
  <c r="B649" i="3"/>
  <c r="B591" i="3"/>
  <c r="B651" i="3"/>
  <c r="C627" i="3"/>
  <c r="B652" i="3"/>
  <c r="C646" i="3"/>
  <c r="D730" i="3"/>
  <c r="D705" i="3"/>
  <c r="F708" i="3"/>
  <c r="C688" i="3"/>
  <c r="C689" i="3" s="1"/>
  <c r="C690" i="3" s="1"/>
  <c r="D617" i="3"/>
  <c r="C657" i="3"/>
  <c r="C596" i="3"/>
  <c r="C637" i="3"/>
  <c r="C606" i="3"/>
  <c r="D597" i="3"/>
  <c r="C543" i="3"/>
  <c r="B543" i="3"/>
  <c r="F482" i="3"/>
  <c r="F514" i="3"/>
  <c r="F506" i="3"/>
  <c r="F474" i="3"/>
  <c r="G515" i="3"/>
  <c r="G511" i="3"/>
  <c r="G507" i="3"/>
  <c r="G503" i="3"/>
  <c r="G499" i="3"/>
  <c r="G495" i="3"/>
  <c r="G491" i="3"/>
  <c r="G487" i="3"/>
  <c r="G483" i="3"/>
  <c r="G479" i="3"/>
  <c r="G475" i="3"/>
  <c r="G471" i="3"/>
  <c r="G467" i="3"/>
  <c r="G512" i="3"/>
  <c r="G508" i="3"/>
  <c r="G504" i="3"/>
  <c r="G500" i="3"/>
  <c r="G496" i="3"/>
  <c r="G492" i="3"/>
  <c r="G488" i="3"/>
  <c r="G484" i="3"/>
  <c r="G480" i="3"/>
  <c r="G476" i="3"/>
  <c r="G472" i="3"/>
  <c r="G468" i="3"/>
  <c r="F490" i="3"/>
  <c r="F498" i="3"/>
  <c r="F466" i="3"/>
  <c r="G510" i="3"/>
  <c r="G502" i="3"/>
  <c r="G494" i="3"/>
  <c r="G486" i="3"/>
  <c r="G478" i="3"/>
  <c r="G470" i="3"/>
  <c r="B516" i="3"/>
  <c r="F513" i="3"/>
  <c r="F509" i="3"/>
  <c r="F505" i="3"/>
  <c r="F501" i="3"/>
  <c r="F497" i="3"/>
  <c r="F493" i="3"/>
  <c r="F489" i="3"/>
  <c r="F485" i="3"/>
  <c r="F481" i="3"/>
  <c r="F477" i="3"/>
  <c r="F473" i="3"/>
  <c r="F469" i="3"/>
  <c r="F465" i="3"/>
  <c r="F456" i="3"/>
  <c r="F452" i="3"/>
  <c r="F453" i="3"/>
  <c r="G455" i="3"/>
  <c r="D457" i="3"/>
  <c r="F454" i="3"/>
  <c r="D400" i="3"/>
  <c r="D447" i="3"/>
  <c r="C414" i="3"/>
  <c r="F399" i="3"/>
  <c r="B406" i="3"/>
  <c r="B405" i="3"/>
  <c r="F400" i="3"/>
  <c r="E393" i="3"/>
  <c r="D703" i="3" l="1"/>
  <c r="D702" i="3"/>
  <c r="D706" i="3"/>
  <c r="D704" i="3"/>
  <c r="F690" i="3"/>
  <c r="F686" i="3"/>
  <c r="F542" i="1"/>
  <c r="G541" i="1"/>
  <c r="G546" i="1"/>
  <c r="G552" i="1" s="1"/>
  <c r="F726" i="3"/>
  <c r="F1554" i="14"/>
  <c r="D1554" i="14"/>
  <c r="F1552" i="14"/>
  <c r="H689" i="3"/>
  <c r="G686" i="3"/>
  <c r="F727" i="3"/>
  <c r="F725" i="3"/>
  <c r="H690" i="3"/>
  <c r="C647" i="3"/>
  <c r="F729" i="3"/>
  <c r="F688" i="3"/>
  <c r="H687" i="3"/>
  <c r="F687" i="3"/>
  <c r="F689" i="3"/>
  <c r="F691" i="3" s="1"/>
  <c r="F693" i="3" s="1"/>
  <c r="F694" i="3" s="1"/>
  <c r="G687" i="3" s="1"/>
  <c r="H686" i="3"/>
  <c r="D1260" i="14"/>
  <c r="D1263" i="14" s="1"/>
  <c r="C1230" i="14"/>
  <c r="D1146" i="14"/>
  <c r="D1148" i="14" s="1"/>
  <c r="E1123" i="14"/>
  <c r="E1039" i="14"/>
  <c r="D1073" i="14"/>
  <c r="D1076" i="14" s="1"/>
  <c r="E1066" i="14" s="1"/>
  <c r="D1060" i="14" s="1"/>
  <c r="D1057" i="14" s="1"/>
  <c r="G1057" i="14" s="1"/>
  <c r="E944" i="14"/>
  <c r="D967" i="14"/>
  <c r="D969" i="14" s="1"/>
  <c r="E183" i="14"/>
  <c r="C190" i="14" s="1"/>
  <c r="E831" i="14"/>
  <c r="D854" i="14"/>
  <c r="D856" i="14" s="1"/>
  <c r="G16" i="14"/>
  <c r="B861" i="9"/>
  <c r="C891" i="9"/>
  <c r="C919" i="9"/>
  <c r="B919" i="9"/>
  <c r="C837" i="9"/>
  <c r="G760" i="9"/>
  <c r="F767" i="9" s="1"/>
  <c r="F748" i="9"/>
  <c r="G748" i="9"/>
  <c r="E396" i="9"/>
  <c r="E397" i="9" s="1"/>
  <c r="B401" i="9" s="1"/>
  <c r="B404" i="9" s="1"/>
  <c r="E370" i="9"/>
  <c r="E371" i="9" s="1"/>
  <c r="B375" i="9" s="1"/>
  <c r="B378" i="9" s="1"/>
  <c r="F269" i="9"/>
  <c r="B271" i="9"/>
  <c r="C271" i="9"/>
  <c r="B24" i="9"/>
  <c r="D444" i="4"/>
  <c r="E88" i="4"/>
  <c r="D212" i="4"/>
  <c r="D215" i="4" s="1"/>
  <c r="D217" i="4" s="1"/>
  <c r="C181" i="4"/>
  <c r="E74" i="4"/>
  <c r="H3" i="5"/>
  <c r="I3" i="5" s="1"/>
  <c r="I4" i="5" s="1"/>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I200" i="5" s="1"/>
  <c r="I201" i="5" s="1"/>
  <c r="I202" i="5" s="1"/>
  <c r="I203" i="5" s="1"/>
  <c r="I204" i="5" s="1"/>
  <c r="I205" i="5" s="1"/>
  <c r="I206" i="5" s="1"/>
  <c r="I207" i="5" s="1"/>
  <c r="I208" i="5" s="1"/>
  <c r="I209" i="5" s="1"/>
  <c r="I210" i="5" s="1"/>
  <c r="I211" i="5" s="1"/>
  <c r="I212" i="5" s="1"/>
  <c r="I213" i="5" s="1"/>
  <c r="I214" i="5" s="1"/>
  <c r="I215" i="5" s="1"/>
  <c r="I216" i="5" s="1"/>
  <c r="I217" i="5" s="1"/>
  <c r="I218" i="5" s="1"/>
  <c r="I219" i="5" s="1"/>
  <c r="I220" i="5" s="1"/>
  <c r="I221" i="5" s="1"/>
  <c r="I222" i="5" s="1"/>
  <c r="I223" i="5" s="1"/>
  <c r="I224" i="5" s="1"/>
  <c r="I225" i="5" s="1"/>
  <c r="I226" i="5" s="1"/>
  <c r="I227" i="5" s="1"/>
  <c r="I228" i="5" s="1"/>
  <c r="I229" i="5" s="1"/>
  <c r="I230" i="5" s="1"/>
  <c r="I231" i="5" s="1"/>
  <c r="I232" i="5" s="1"/>
  <c r="I233" i="5" s="1"/>
  <c r="I234" i="5" s="1"/>
  <c r="I235" i="5" s="1"/>
  <c r="I236" i="5" s="1"/>
  <c r="I237" i="5" s="1"/>
  <c r="I238" i="5" s="1"/>
  <c r="I239" i="5" s="1"/>
  <c r="I240" i="5" s="1"/>
  <c r="I241" i="5" s="1"/>
  <c r="I242" i="5" s="1"/>
  <c r="I243" i="5" s="1"/>
  <c r="I244" i="5" s="1"/>
  <c r="I245" i="5" s="1"/>
  <c r="I246" i="5" s="1"/>
  <c r="I247" i="5" s="1"/>
  <c r="I248" i="5" s="1"/>
  <c r="I249" i="5" s="1"/>
  <c r="I250" i="5" s="1"/>
  <c r="I251" i="5" s="1"/>
  <c r="I252" i="5" s="1"/>
  <c r="I253" i="5" s="1"/>
  <c r="I254" i="5" s="1"/>
  <c r="I255" i="5" s="1"/>
  <c r="I256" i="5" s="1"/>
  <c r="I257" i="5" s="1"/>
  <c r="I258" i="5" s="1"/>
  <c r="I259" i="5" s="1"/>
  <c r="I260" i="5" s="1"/>
  <c r="I261" i="5" s="1"/>
  <c r="I262" i="5" s="1"/>
  <c r="I263" i="5" s="1"/>
  <c r="I264" i="5" s="1"/>
  <c r="I265" i="5" s="1"/>
  <c r="I266" i="5" s="1"/>
  <c r="I267" i="5" s="1"/>
  <c r="I268" i="5" s="1"/>
  <c r="I269" i="5" s="1"/>
  <c r="I270" i="5" s="1"/>
  <c r="I271" i="5" s="1"/>
  <c r="I272" i="5" s="1"/>
  <c r="I273" i="5" s="1"/>
  <c r="I274" i="5" s="1"/>
  <c r="I275" i="5" s="1"/>
  <c r="I276" i="5" s="1"/>
  <c r="I277" i="5" s="1"/>
  <c r="I278" i="5" s="1"/>
  <c r="I279" i="5" s="1"/>
  <c r="I280" i="5" s="1"/>
  <c r="I281" i="5" s="1"/>
  <c r="I282" i="5" s="1"/>
  <c r="I283" i="5" s="1"/>
  <c r="I284" i="5" s="1"/>
  <c r="I285" i="5" s="1"/>
  <c r="I286" i="5" s="1"/>
  <c r="I287" i="5" s="1"/>
  <c r="I288" i="5" s="1"/>
  <c r="I289" i="5" s="1"/>
  <c r="I290" i="5" s="1"/>
  <c r="I291" i="5" s="1"/>
  <c r="I292" i="5" s="1"/>
  <c r="I293" i="5" s="1"/>
  <c r="I294" i="5" s="1"/>
  <c r="I295" i="5" s="1"/>
  <c r="I296" i="5" s="1"/>
  <c r="I297" i="5" s="1"/>
  <c r="I298" i="5" s="1"/>
  <c r="I299" i="5" s="1"/>
  <c r="I300" i="5" s="1"/>
  <c r="I301" i="5" s="1"/>
  <c r="I302" i="5" s="1"/>
  <c r="I303" i="5" s="1"/>
  <c r="I304" i="5" s="1"/>
  <c r="I305" i="5" s="1"/>
  <c r="I306" i="5" s="1"/>
  <c r="I307" i="5" s="1"/>
  <c r="I308" i="5" s="1"/>
  <c r="I309" i="5" s="1"/>
  <c r="I310" i="5" s="1"/>
  <c r="I311" i="5" s="1"/>
  <c r="I312" i="5" s="1"/>
  <c r="I313" i="5" s="1"/>
  <c r="I314" i="5" s="1"/>
  <c r="I315" i="5" s="1"/>
  <c r="I316" i="5" s="1"/>
  <c r="I317" i="5" s="1"/>
  <c r="I318" i="5" s="1"/>
  <c r="I319" i="5" s="1"/>
  <c r="I320" i="5" s="1"/>
  <c r="I321" i="5" s="1"/>
  <c r="I322" i="5" s="1"/>
  <c r="I323" i="5" s="1"/>
  <c r="I324" i="5" s="1"/>
  <c r="I325" i="5" s="1"/>
  <c r="I326" i="5" s="1"/>
  <c r="I327" i="5" s="1"/>
  <c r="I328" i="5" s="1"/>
  <c r="I329" i="5" s="1"/>
  <c r="I330" i="5" s="1"/>
  <c r="I331" i="5" s="1"/>
  <c r="I332" i="5" s="1"/>
  <c r="I333" i="5" s="1"/>
  <c r="I334" i="5" s="1"/>
  <c r="I335" i="5" s="1"/>
  <c r="I336" i="5" s="1"/>
  <c r="I337" i="5" s="1"/>
  <c r="I338" i="5" s="1"/>
  <c r="I339" i="5" s="1"/>
  <c r="I340" i="5" s="1"/>
  <c r="I341" i="5" s="1"/>
  <c r="I342" i="5" s="1"/>
  <c r="I343" i="5" s="1"/>
  <c r="I344" i="5" s="1"/>
  <c r="I345" i="5" s="1"/>
  <c r="I346" i="5" s="1"/>
  <c r="I347" i="5" s="1"/>
  <c r="I348" i="5" s="1"/>
  <c r="I349" i="5" s="1"/>
  <c r="I350" i="5" s="1"/>
  <c r="I351" i="5" s="1"/>
  <c r="I352" i="5" s="1"/>
  <c r="I353" i="5" s="1"/>
  <c r="I354" i="5" s="1"/>
  <c r="I355" i="5" s="1"/>
  <c r="I356" i="5" s="1"/>
  <c r="I357" i="5" s="1"/>
  <c r="I358" i="5" s="1"/>
  <c r="I359" i="5" s="1"/>
  <c r="I360" i="5" s="1"/>
  <c r="I361" i="5" s="1"/>
  <c r="I362" i="5" s="1"/>
  <c r="I363" i="5" s="1"/>
  <c r="I364" i="5" s="1"/>
  <c r="I365" i="5" s="1"/>
  <c r="I366" i="5" s="1"/>
  <c r="I367" i="5" s="1"/>
  <c r="I368" i="5" s="1"/>
  <c r="I369" i="5" s="1"/>
  <c r="I370" i="5" s="1"/>
  <c r="I371" i="5" s="1"/>
  <c r="I372" i="5" s="1"/>
  <c r="I373" i="5" s="1"/>
  <c r="I374" i="5" s="1"/>
  <c r="I375" i="5" s="1"/>
  <c r="I376" i="5" s="1"/>
  <c r="I377" i="5" s="1"/>
  <c r="I378" i="5" s="1"/>
  <c r="I379" i="5" s="1"/>
  <c r="I380" i="5" s="1"/>
  <c r="I381" i="5" s="1"/>
  <c r="I382" i="5" s="1"/>
  <c r="I383" i="5" s="1"/>
  <c r="I384" i="5" s="1"/>
  <c r="I385" i="5" s="1"/>
  <c r="I386" i="5" s="1"/>
  <c r="I387" i="5" s="1"/>
  <c r="I388" i="5" s="1"/>
  <c r="I389" i="5" s="1"/>
  <c r="I390" i="5" s="1"/>
  <c r="I391" i="5" s="1"/>
  <c r="I392" i="5" s="1"/>
  <c r="I393" i="5" s="1"/>
  <c r="I394" i="5" s="1"/>
  <c r="I395" i="5" s="1"/>
  <c r="I396" i="5" s="1"/>
  <c r="I397" i="5" s="1"/>
  <c r="I398" i="5" s="1"/>
  <c r="I399" i="5" s="1"/>
  <c r="I400" i="5" s="1"/>
  <c r="I401" i="5" s="1"/>
  <c r="I402" i="5" s="1"/>
  <c r="I403" i="5" s="1"/>
  <c r="I404" i="5" s="1"/>
  <c r="I405" i="5" s="1"/>
  <c r="I406" i="5" s="1"/>
  <c r="I407" i="5" s="1"/>
  <c r="I408" i="5" s="1"/>
  <c r="I409" i="5" s="1"/>
  <c r="I410" i="5" s="1"/>
  <c r="I411" i="5" s="1"/>
  <c r="I412" i="5" s="1"/>
  <c r="I413" i="5" s="1"/>
  <c r="I414" i="5" s="1"/>
  <c r="I415" i="5" s="1"/>
  <c r="I416" i="5" s="1"/>
  <c r="I417" i="5" s="1"/>
  <c r="I418" i="5" s="1"/>
  <c r="I419" i="5" s="1"/>
  <c r="I420" i="5" s="1"/>
  <c r="I421" i="5" s="1"/>
  <c r="I422" i="5" s="1"/>
  <c r="I423" i="5" s="1"/>
  <c r="I424" i="5" s="1"/>
  <c r="I425" i="5" s="1"/>
  <c r="I426" i="5" s="1"/>
  <c r="I427" i="5" s="1"/>
  <c r="I428" i="5" s="1"/>
  <c r="I429" i="5" s="1"/>
  <c r="I430" i="5" s="1"/>
  <c r="I431" i="5" s="1"/>
  <c r="I432" i="5" s="1"/>
  <c r="I433" i="5" s="1"/>
  <c r="I434" i="5" s="1"/>
  <c r="I435" i="5" s="1"/>
  <c r="I436" i="5" s="1"/>
  <c r="I437" i="5" s="1"/>
  <c r="I438" i="5" s="1"/>
  <c r="I439" i="5" s="1"/>
  <c r="I440" i="5" s="1"/>
  <c r="I441" i="5" s="1"/>
  <c r="I442" i="5" s="1"/>
  <c r="I443" i="5" s="1"/>
  <c r="I444" i="5" s="1"/>
  <c r="I445" i="5" s="1"/>
  <c r="I446" i="5" s="1"/>
  <c r="I447" i="5" s="1"/>
  <c r="I448" i="5" s="1"/>
  <c r="I449" i="5" s="1"/>
  <c r="I450" i="5" s="1"/>
  <c r="I451" i="5" s="1"/>
  <c r="I452" i="5" s="1"/>
  <c r="I453" i="5" s="1"/>
  <c r="I454" i="5" s="1"/>
  <c r="I455" i="5" s="1"/>
  <c r="I456" i="5" s="1"/>
  <c r="I457" i="5" s="1"/>
  <c r="I458" i="5" s="1"/>
  <c r="I459" i="5" s="1"/>
  <c r="I460" i="5" s="1"/>
  <c r="I461" i="5" s="1"/>
  <c r="I462" i="5" s="1"/>
  <c r="I463" i="5" s="1"/>
  <c r="I464" i="5" s="1"/>
  <c r="I465" i="5" s="1"/>
  <c r="I466" i="5" s="1"/>
  <c r="I467" i="5" s="1"/>
  <c r="I468" i="5" s="1"/>
  <c r="I469" i="5" s="1"/>
  <c r="I470" i="5" s="1"/>
  <c r="I471" i="5" s="1"/>
  <c r="I472" i="5" s="1"/>
  <c r="I473" i="5" s="1"/>
  <c r="I474" i="5" s="1"/>
  <c r="I475" i="5" s="1"/>
  <c r="I476" i="5" s="1"/>
  <c r="I477" i="5" s="1"/>
  <c r="I478" i="5" s="1"/>
  <c r="I479" i="5" s="1"/>
  <c r="I480" i="5" s="1"/>
  <c r="I481" i="5" s="1"/>
  <c r="I482" i="5" s="1"/>
  <c r="I483" i="5" s="1"/>
  <c r="I484" i="5" s="1"/>
  <c r="I485" i="5" s="1"/>
  <c r="I486" i="5" s="1"/>
  <c r="I487" i="5" s="1"/>
  <c r="I488" i="5" s="1"/>
  <c r="I489" i="5" s="1"/>
  <c r="I490" i="5" s="1"/>
  <c r="I491" i="5" s="1"/>
  <c r="I492" i="5" s="1"/>
  <c r="I493" i="5" s="1"/>
  <c r="I494" i="5" s="1"/>
  <c r="I495" i="5" s="1"/>
  <c r="I496" i="5" s="1"/>
  <c r="I497" i="5" s="1"/>
  <c r="I498" i="5" s="1"/>
  <c r="I499" i="5" s="1"/>
  <c r="I500" i="5" s="1"/>
  <c r="I501" i="5" s="1"/>
  <c r="I502" i="5" s="1"/>
  <c r="I503" i="5" s="1"/>
  <c r="I504" i="5" s="1"/>
  <c r="I505" i="5" s="1"/>
  <c r="I506" i="5" s="1"/>
  <c r="I507" i="5" s="1"/>
  <c r="I508" i="5" s="1"/>
  <c r="I509" i="5" s="1"/>
  <c r="I510" i="5" s="1"/>
  <c r="I511" i="5" s="1"/>
  <c r="I512" i="5" s="1"/>
  <c r="I513" i="5" s="1"/>
  <c r="I514" i="5" s="1"/>
  <c r="I515" i="5" s="1"/>
  <c r="I516" i="5" s="1"/>
  <c r="I517" i="5" s="1"/>
  <c r="I518" i="5" s="1"/>
  <c r="I519" i="5" s="1"/>
  <c r="I520" i="5" s="1"/>
  <c r="I521" i="5" s="1"/>
  <c r="I522" i="5" s="1"/>
  <c r="I523" i="5" s="1"/>
  <c r="I524" i="5" s="1"/>
  <c r="I525" i="5" s="1"/>
  <c r="I526" i="5" s="1"/>
  <c r="I527" i="5" s="1"/>
  <c r="I528" i="5" s="1"/>
  <c r="I529" i="5" s="1"/>
  <c r="I530" i="5" s="1"/>
  <c r="I531" i="5" s="1"/>
  <c r="I532" i="5" s="1"/>
  <c r="I533" i="5" s="1"/>
  <c r="I534" i="5" s="1"/>
  <c r="I535" i="5" s="1"/>
  <c r="I536" i="5" s="1"/>
  <c r="I537" i="5" s="1"/>
  <c r="I538" i="5" s="1"/>
  <c r="I539" i="5" s="1"/>
  <c r="I540" i="5" s="1"/>
  <c r="I541" i="5" s="1"/>
  <c r="I542" i="5" s="1"/>
  <c r="I543" i="5" s="1"/>
  <c r="I544" i="5" s="1"/>
  <c r="I545" i="5" s="1"/>
  <c r="I546" i="5" s="1"/>
  <c r="I547" i="5" s="1"/>
  <c r="I548" i="5" s="1"/>
  <c r="I549" i="5" s="1"/>
  <c r="I550" i="5" s="1"/>
  <c r="I551" i="5" s="1"/>
  <c r="I552" i="5" s="1"/>
  <c r="I553" i="5" s="1"/>
  <c r="I554" i="5" s="1"/>
  <c r="I555" i="5" s="1"/>
  <c r="I556" i="5" s="1"/>
  <c r="I557" i="5" s="1"/>
  <c r="I558" i="5" s="1"/>
  <c r="I559" i="5" s="1"/>
  <c r="I560" i="5" s="1"/>
  <c r="I561" i="5" s="1"/>
  <c r="I562" i="5" s="1"/>
  <c r="I563" i="5" s="1"/>
  <c r="I564" i="5" s="1"/>
  <c r="I565" i="5" s="1"/>
  <c r="I566" i="5" s="1"/>
  <c r="I567" i="5" s="1"/>
  <c r="I568" i="5" s="1"/>
  <c r="I569" i="5" s="1"/>
  <c r="I570" i="5" s="1"/>
  <c r="I571" i="5" s="1"/>
  <c r="I572" i="5" s="1"/>
  <c r="I573" i="5" s="1"/>
  <c r="I574" i="5" s="1"/>
  <c r="I575" i="5" s="1"/>
  <c r="I576" i="5" s="1"/>
  <c r="I577" i="5" s="1"/>
  <c r="I578" i="5" s="1"/>
  <c r="I579" i="5" s="1"/>
  <c r="I580" i="5" s="1"/>
  <c r="I581" i="5" s="1"/>
  <c r="I582" i="5" s="1"/>
  <c r="I583" i="5" s="1"/>
  <c r="I584" i="5" s="1"/>
  <c r="I585" i="5" s="1"/>
  <c r="I586" i="5" s="1"/>
  <c r="I587" i="5" s="1"/>
  <c r="I588" i="5" s="1"/>
  <c r="I589" i="5" s="1"/>
  <c r="I590" i="5" s="1"/>
  <c r="I591" i="5" s="1"/>
  <c r="I592" i="5" s="1"/>
  <c r="I593" i="5" s="1"/>
  <c r="I594" i="5" s="1"/>
  <c r="I595" i="5" s="1"/>
  <c r="I596" i="5" s="1"/>
  <c r="I597" i="5" s="1"/>
  <c r="I598" i="5" s="1"/>
  <c r="I599" i="5" s="1"/>
  <c r="I600" i="5" s="1"/>
  <c r="I601" i="5" s="1"/>
  <c r="I602" i="5" s="1"/>
  <c r="I603" i="5" s="1"/>
  <c r="I604" i="5" s="1"/>
  <c r="I605" i="5" s="1"/>
  <c r="I606" i="5" s="1"/>
  <c r="I607" i="5" s="1"/>
  <c r="I608" i="5" s="1"/>
  <c r="I609" i="5" s="1"/>
  <c r="I610" i="5" s="1"/>
  <c r="I611" i="5" s="1"/>
  <c r="I612" i="5" s="1"/>
  <c r="I613" i="5" s="1"/>
  <c r="I614" i="5" s="1"/>
  <c r="I615" i="5" s="1"/>
  <c r="I616" i="5" s="1"/>
  <c r="I617" i="5" s="1"/>
  <c r="I618" i="5" s="1"/>
  <c r="I619" i="5" s="1"/>
  <c r="I620" i="5" s="1"/>
  <c r="I621" i="5" s="1"/>
  <c r="I622" i="5" s="1"/>
  <c r="I623" i="5" s="1"/>
  <c r="I624" i="5" s="1"/>
  <c r="I625" i="5" s="1"/>
  <c r="I626" i="5" s="1"/>
  <c r="I627" i="5" s="1"/>
  <c r="I628" i="5" s="1"/>
  <c r="I629" i="5" s="1"/>
  <c r="I630" i="5" s="1"/>
  <c r="I631" i="5" s="1"/>
  <c r="I632" i="5" s="1"/>
  <c r="I633" i="5" s="1"/>
  <c r="I634" i="5" s="1"/>
  <c r="I635" i="5" s="1"/>
  <c r="I636" i="5" s="1"/>
  <c r="I637" i="5" s="1"/>
  <c r="I638" i="5" s="1"/>
  <c r="I639" i="5" s="1"/>
  <c r="I640" i="5" s="1"/>
  <c r="I641" i="5" s="1"/>
  <c r="I642" i="5" s="1"/>
  <c r="I643" i="5" s="1"/>
  <c r="I644" i="5" s="1"/>
  <c r="I645" i="5" s="1"/>
  <c r="I646" i="5" s="1"/>
  <c r="I647" i="5" s="1"/>
  <c r="I648" i="5" s="1"/>
  <c r="I649" i="5" s="1"/>
  <c r="I650" i="5" s="1"/>
  <c r="I651" i="5" s="1"/>
  <c r="I652" i="5" s="1"/>
  <c r="I653" i="5" s="1"/>
  <c r="I654" i="5" s="1"/>
  <c r="I655" i="5" s="1"/>
  <c r="I656" i="5" s="1"/>
  <c r="I657" i="5" s="1"/>
  <c r="I658" i="5" s="1"/>
  <c r="I659" i="5" s="1"/>
  <c r="I660" i="5" s="1"/>
  <c r="I661" i="5" s="1"/>
  <c r="I662" i="5" s="1"/>
  <c r="I663" i="5" s="1"/>
  <c r="I664" i="5" s="1"/>
  <c r="I665" i="5" s="1"/>
  <c r="I666" i="5" s="1"/>
  <c r="I667" i="5" s="1"/>
  <c r="I668" i="5" s="1"/>
  <c r="I669" i="5" s="1"/>
  <c r="I670" i="5" s="1"/>
  <c r="I671" i="5" s="1"/>
  <c r="I672" i="5" s="1"/>
  <c r="I673" i="5" s="1"/>
  <c r="I674" i="5" s="1"/>
  <c r="I675" i="5" s="1"/>
  <c r="I676" i="5" s="1"/>
  <c r="I677" i="5" s="1"/>
  <c r="I678" i="5" s="1"/>
  <c r="I679" i="5" s="1"/>
  <c r="I680" i="5" s="1"/>
  <c r="I681" i="5" s="1"/>
  <c r="I682" i="5" s="1"/>
  <c r="I683" i="5" s="1"/>
  <c r="I684" i="5" s="1"/>
  <c r="I685" i="5" s="1"/>
  <c r="I686" i="5" s="1"/>
  <c r="I687" i="5" s="1"/>
  <c r="I688" i="5" s="1"/>
  <c r="I689" i="5" s="1"/>
  <c r="I690" i="5" s="1"/>
  <c r="I691" i="5" s="1"/>
  <c r="I692" i="5" s="1"/>
  <c r="I693" i="5" s="1"/>
  <c r="I694" i="5" s="1"/>
  <c r="I695" i="5" s="1"/>
  <c r="I696" i="5" s="1"/>
  <c r="I697" i="5" s="1"/>
  <c r="I698" i="5" s="1"/>
  <c r="I699" i="5" s="1"/>
  <c r="I700" i="5" s="1"/>
  <c r="I701" i="5" s="1"/>
  <c r="I702" i="5" s="1"/>
  <c r="I703" i="5" s="1"/>
  <c r="I704" i="5" s="1"/>
  <c r="I705" i="5" s="1"/>
  <c r="I706" i="5" s="1"/>
  <c r="I707" i="5" s="1"/>
  <c r="I708" i="5" s="1"/>
  <c r="I709" i="5" s="1"/>
  <c r="I710" i="5" s="1"/>
  <c r="I711" i="5" s="1"/>
  <c r="I712" i="5" s="1"/>
  <c r="I713" i="5" s="1"/>
  <c r="I714" i="5" s="1"/>
  <c r="I715" i="5" s="1"/>
  <c r="I716" i="5" s="1"/>
  <c r="I717" i="5" s="1"/>
  <c r="I718" i="5" s="1"/>
  <c r="I719" i="5" s="1"/>
  <c r="I720" i="5" s="1"/>
  <c r="I721" i="5" s="1"/>
  <c r="I722" i="5" s="1"/>
  <c r="I723" i="5" s="1"/>
  <c r="I724" i="5" s="1"/>
  <c r="I725" i="5" s="1"/>
  <c r="I726" i="5" s="1"/>
  <c r="I727" i="5" s="1"/>
  <c r="I728" i="5" s="1"/>
  <c r="I729" i="5" s="1"/>
  <c r="I730" i="5" s="1"/>
  <c r="I731" i="5" s="1"/>
  <c r="I732" i="5" s="1"/>
  <c r="I733" i="5" s="1"/>
  <c r="I734" i="5" s="1"/>
  <c r="I735" i="5" s="1"/>
  <c r="I736" i="5" s="1"/>
  <c r="I737" i="5" s="1"/>
  <c r="I738" i="5" s="1"/>
  <c r="I739" i="5" s="1"/>
  <c r="I740" i="5" s="1"/>
  <c r="I741" i="5" s="1"/>
  <c r="I742" i="5" s="1"/>
  <c r="I743" i="5" s="1"/>
  <c r="I744" i="5" s="1"/>
  <c r="I745" i="5" s="1"/>
  <c r="I746" i="5" s="1"/>
  <c r="I747" i="5" s="1"/>
  <c r="I748" i="5" s="1"/>
  <c r="I749" i="5" s="1"/>
  <c r="I750" i="5" s="1"/>
  <c r="I751" i="5" s="1"/>
  <c r="I752" i="5" s="1"/>
  <c r="I753" i="5" s="1"/>
  <c r="I754" i="5" s="1"/>
  <c r="I755" i="5" s="1"/>
  <c r="I756" i="5" s="1"/>
  <c r="I757" i="5" s="1"/>
  <c r="I758" i="5" s="1"/>
  <c r="I759" i="5" s="1"/>
  <c r="I760" i="5" s="1"/>
  <c r="I761" i="5" s="1"/>
  <c r="I762" i="5" s="1"/>
  <c r="I763" i="5" s="1"/>
  <c r="I764" i="5" s="1"/>
  <c r="I765" i="5" s="1"/>
  <c r="I766" i="5" s="1"/>
  <c r="I767" i="5" s="1"/>
  <c r="I768" i="5" s="1"/>
  <c r="I769" i="5" s="1"/>
  <c r="I770" i="5" s="1"/>
  <c r="I771" i="5" s="1"/>
  <c r="I772" i="5" s="1"/>
  <c r="I773" i="5" s="1"/>
  <c r="I774" i="5" s="1"/>
  <c r="I775" i="5" s="1"/>
  <c r="I776" i="5" s="1"/>
  <c r="I777" i="5" s="1"/>
  <c r="I778" i="5" s="1"/>
  <c r="I779" i="5" s="1"/>
  <c r="I780" i="5" s="1"/>
  <c r="I781" i="5" s="1"/>
  <c r="I782" i="5" s="1"/>
  <c r="I783" i="5" s="1"/>
  <c r="I784" i="5" s="1"/>
  <c r="I785" i="5" s="1"/>
  <c r="I786" i="5" s="1"/>
  <c r="I787" i="5" s="1"/>
  <c r="I788" i="5" s="1"/>
  <c r="I789" i="5" s="1"/>
  <c r="I790" i="5" s="1"/>
  <c r="I791" i="5" s="1"/>
  <c r="I792" i="5" s="1"/>
  <c r="I793" i="5" s="1"/>
  <c r="I794" i="5" s="1"/>
  <c r="I795" i="5" s="1"/>
  <c r="I796" i="5" s="1"/>
  <c r="I797" i="5" s="1"/>
  <c r="I798" i="5" s="1"/>
  <c r="I799" i="5" s="1"/>
  <c r="I800" i="5" s="1"/>
  <c r="I801" i="5" s="1"/>
  <c r="I802" i="5" s="1"/>
  <c r="D708" i="3"/>
  <c r="D710" i="3" s="1"/>
  <c r="D711" i="3" s="1"/>
  <c r="F711" i="3" s="1"/>
  <c r="G516" i="3"/>
  <c r="G517" i="3" s="1"/>
  <c r="G518" i="3" s="1"/>
  <c r="F516" i="3"/>
  <c r="F457" i="3"/>
  <c r="F458" i="3" s="1"/>
  <c r="G452" i="3" s="1"/>
  <c r="G457" i="3" s="1"/>
  <c r="G459" i="3" s="1"/>
  <c r="G460" i="3" s="1"/>
  <c r="F401" i="3"/>
  <c r="G369" i="3"/>
  <c r="G368" i="3"/>
  <c r="G367" i="3"/>
  <c r="G366" i="3"/>
  <c r="D369" i="3"/>
  <c r="F352" i="3"/>
  <c r="F353" i="3"/>
  <c r="F354" i="3"/>
  <c r="F351" i="3"/>
  <c r="C355" i="3"/>
  <c r="D355" i="3"/>
  <c r="E355" i="3"/>
  <c r="B355" i="3"/>
  <c r="D341" i="3"/>
  <c r="D338" i="3"/>
  <c r="D336" i="3"/>
  <c r="B329" i="3"/>
  <c r="C325" i="3"/>
  <c r="C326" i="3"/>
  <c r="C327" i="3"/>
  <c r="C328" i="3"/>
  <c r="C32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284" i="3"/>
  <c r="C285" i="3"/>
  <c r="C286" i="3"/>
  <c r="E286" i="3" s="1"/>
  <c r="G286" i="3" s="1"/>
  <c r="C287" i="3"/>
  <c r="C288" i="3"/>
  <c r="C289" i="3"/>
  <c r="C290" i="3"/>
  <c r="C291" i="3"/>
  <c r="C292" i="3"/>
  <c r="C293" i="3"/>
  <c r="E293" i="3" s="1"/>
  <c r="G293" i="3" s="1"/>
  <c r="C294" i="3"/>
  <c r="C295" i="3"/>
  <c r="C296" i="3"/>
  <c r="C297" i="3"/>
  <c r="C298" i="3"/>
  <c r="C299" i="3"/>
  <c r="C300" i="3"/>
  <c r="C301" i="3"/>
  <c r="C302" i="3"/>
  <c r="E302" i="3" s="1"/>
  <c r="G302" i="3" s="1"/>
  <c r="C303" i="3"/>
  <c r="C304" i="3"/>
  <c r="C305" i="3"/>
  <c r="C306" i="3"/>
  <c r="C307" i="3"/>
  <c r="C308" i="3"/>
  <c r="C309" i="3"/>
  <c r="C310" i="3"/>
  <c r="C311" i="3"/>
  <c r="C312" i="3"/>
  <c r="C313" i="3"/>
  <c r="C314" i="3"/>
  <c r="C315" i="3"/>
  <c r="C316" i="3"/>
  <c r="C317" i="3"/>
  <c r="E317" i="3" s="1"/>
  <c r="G317" i="3" s="1"/>
  <c r="C318" i="3"/>
  <c r="C319" i="3"/>
  <c r="C284" i="3"/>
  <c r="B269" i="3"/>
  <c r="C265" i="3"/>
  <c r="C266" i="3"/>
  <c r="C267" i="3"/>
  <c r="C268" i="3"/>
  <c r="C264" i="3"/>
  <c r="B257" i="3"/>
  <c r="C252" i="3"/>
  <c r="C253" i="3"/>
  <c r="C254" i="3"/>
  <c r="C255" i="3"/>
  <c r="C256" i="3"/>
  <c r="C251" i="3"/>
  <c r="F246" i="3"/>
  <c r="F245" i="3"/>
  <c r="F244" i="3"/>
  <c r="C246" i="3"/>
  <c r="C245" i="3"/>
  <c r="C244" i="3"/>
  <c r="B213" i="3"/>
  <c r="C206" i="3"/>
  <c r="C207" i="3"/>
  <c r="C208" i="3"/>
  <c r="C209" i="3"/>
  <c r="C210" i="3"/>
  <c r="C211" i="3"/>
  <c r="C212" i="3"/>
  <c r="C205" i="3"/>
  <c r="F730" i="3" l="1"/>
  <c r="F731" i="3" s="1"/>
  <c r="H691" i="3"/>
  <c r="G542" i="1"/>
  <c r="G543" i="1" s="1"/>
  <c r="H542" i="1" s="1"/>
  <c r="E1253" i="14"/>
  <c r="D1248" i="14" s="1"/>
  <c r="D1245" i="14" s="1"/>
  <c r="G1245" i="14" s="1"/>
  <c r="C1238" i="14" s="1"/>
  <c r="E1150" i="14"/>
  <c r="E1152" i="14" s="1"/>
  <c r="D1141" i="14" s="1"/>
  <c r="D1133" i="14" s="1"/>
  <c r="D1162" i="14" s="1"/>
  <c r="G1162" i="14" s="1"/>
  <c r="B1160" i="14" s="1"/>
  <c r="D1143" i="14"/>
  <c r="C1126" i="14"/>
  <c r="C1050" i="14"/>
  <c r="H1041" i="14"/>
  <c r="C1042" i="14"/>
  <c r="C947" i="14"/>
  <c r="I930" i="14" s="1"/>
  <c r="J930" i="14" s="1"/>
  <c r="E971" i="14"/>
  <c r="E973" i="14" s="1"/>
  <c r="D962" i="14" s="1"/>
  <c r="D954" i="14" s="1"/>
  <c r="D983" i="14" s="1"/>
  <c r="H983" i="14" s="1"/>
  <c r="D981" i="14" s="1"/>
  <c r="D964" i="14"/>
  <c r="C834" i="14"/>
  <c r="I821" i="14" s="1"/>
  <c r="J821" i="14" s="1"/>
  <c r="D851" i="14"/>
  <c r="E858" i="14"/>
  <c r="E860" i="14" s="1"/>
  <c r="D849" i="14" s="1"/>
  <c r="D841" i="14" s="1"/>
  <c r="G863" i="14" s="1"/>
  <c r="D871" i="14" s="1"/>
  <c r="G764" i="9"/>
  <c r="G767" i="9" s="1"/>
  <c r="C404" i="9"/>
  <c r="C378" i="9"/>
  <c r="H692" i="3"/>
  <c r="H693" i="3"/>
  <c r="E308" i="3"/>
  <c r="G308" i="3" s="1"/>
  <c r="E300" i="3"/>
  <c r="G300" i="3" s="1"/>
  <c r="E292" i="3"/>
  <c r="G292" i="3" s="1"/>
  <c r="E316" i="3"/>
  <c r="G316" i="3" s="1"/>
  <c r="E309" i="3"/>
  <c r="G309" i="3" s="1"/>
  <c r="E301" i="3"/>
  <c r="G301" i="3" s="1"/>
  <c r="E285" i="3"/>
  <c r="G285" i="3" s="1"/>
  <c r="E312" i="3"/>
  <c r="G312" i="3" s="1"/>
  <c r="E304" i="3"/>
  <c r="G304" i="3" s="1"/>
  <c r="E296" i="3"/>
  <c r="G296" i="3" s="1"/>
  <c r="E288" i="3"/>
  <c r="G288" i="3" s="1"/>
  <c r="E313" i="3"/>
  <c r="G313" i="3" s="1"/>
  <c r="E305" i="3"/>
  <c r="G305" i="3" s="1"/>
  <c r="E297" i="3"/>
  <c r="G297" i="3" s="1"/>
  <c r="E289" i="3"/>
  <c r="G289" i="3" s="1"/>
  <c r="E314" i="3"/>
  <c r="G314" i="3" s="1"/>
  <c r="E306" i="3"/>
  <c r="G306" i="3" s="1"/>
  <c r="E290" i="3"/>
  <c r="G290" i="3" s="1"/>
  <c r="E366" i="3"/>
  <c r="C329" i="3"/>
  <c r="C330" i="3" s="1"/>
  <c r="D325" i="3" s="1"/>
  <c r="D367" i="3"/>
  <c r="B359" i="3"/>
  <c r="E368" i="3"/>
  <c r="E369" i="3"/>
  <c r="A359" i="3"/>
  <c r="D368" i="3"/>
  <c r="E367" i="3"/>
  <c r="B369" i="3"/>
  <c r="B368" i="3"/>
  <c r="B367" i="3"/>
  <c r="B370" i="3"/>
  <c r="E319" i="3"/>
  <c r="G319" i="3" s="1"/>
  <c r="E315" i="3"/>
  <c r="G315" i="3" s="1"/>
  <c r="E284" i="3"/>
  <c r="G284" i="3" s="1"/>
  <c r="E287" i="3"/>
  <c r="G287" i="3" s="1"/>
  <c r="E291" i="3"/>
  <c r="G291" i="3" s="1"/>
  <c r="E299" i="3"/>
  <c r="G299" i="3" s="1"/>
  <c r="E307" i="3"/>
  <c r="G307" i="3" s="1"/>
  <c r="E303" i="3"/>
  <c r="G303" i="3" s="1"/>
  <c r="E311" i="3"/>
  <c r="G311" i="3" s="1"/>
  <c r="E318" i="3"/>
  <c r="G318" i="3" s="1"/>
  <c r="E310" i="3"/>
  <c r="G310" i="3" s="1"/>
  <c r="E298" i="3"/>
  <c r="G298" i="3" s="1"/>
  <c r="E294" i="3"/>
  <c r="G294" i="3" s="1"/>
  <c r="E295" i="3"/>
  <c r="G295" i="3" s="1"/>
  <c r="C269" i="3"/>
  <c r="C270" i="3" s="1"/>
  <c r="D265" i="3" s="1"/>
  <c r="F247" i="3"/>
  <c r="C257" i="3"/>
  <c r="C258" i="3" s="1"/>
  <c r="D255" i="3" s="1"/>
  <c r="C247" i="3"/>
  <c r="C213" i="3"/>
  <c r="C214" i="3" s="1"/>
  <c r="E204" i="3" s="1"/>
  <c r="H539" i="1" l="1"/>
  <c r="H538" i="1"/>
  <c r="G549" i="1"/>
  <c r="H540" i="1"/>
  <c r="H541" i="1"/>
  <c r="D1160" i="14"/>
  <c r="B981" i="14"/>
  <c r="I1112" i="14"/>
  <c r="J1112" i="14" s="1"/>
  <c r="I1111" i="14"/>
  <c r="J1111" i="14" s="1"/>
  <c r="I1115" i="14"/>
  <c r="J1115" i="14" s="1"/>
  <c r="I1113" i="14"/>
  <c r="J1113" i="14" s="1"/>
  <c r="I1114" i="14"/>
  <c r="J1114" i="14" s="1"/>
  <c r="I931" i="14"/>
  <c r="J931" i="14" s="1"/>
  <c r="I935" i="14"/>
  <c r="J935" i="14" s="1"/>
  <c r="I933" i="14"/>
  <c r="J933" i="14" s="1"/>
  <c r="I929" i="14"/>
  <c r="J929" i="14" s="1"/>
  <c r="I934" i="14"/>
  <c r="J934" i="14" s="1"/>
  <c r="I932" i="14"/>
  <c r="J932" i="14" s="1"/>
  <c r="I936" i="14"/>
  <c r="J936" i="14" s="1"/>
  <c r="I814" i="14"/>
  <c r="J814" i="14" s="1"/>
  <c r="I824" i="14"/>
  <c r="J824" i="14" s="1"/>
  <c r="C878" i="14"/>
  <c r="I818" i="14"/>
  <c r="J818" i="14" s="1"/>
  <c r="I815" i="14"/>
  <c r="J815" i="14" s="1"/>
  <c r="I822" i="14"/>
  <c r="J822" i="14" s="1"/>
  <c r="I819" i="14"/>
  <c r="J819" i="14" s="1"/>
  <c r="I816" i="14"/>
  <c r="J816" i="14" s="1"/>
  <c r="I813" i="14"/>
  <c r="J813" i="14" s="1"/>
  <c r="B871" i="14"/>
  <c r="I812" i="14"/>
  <c r="J812" i="14" s="1"/>
  <c r="I823" i="14"/>
  <c r="J823" i="14" s="1"/>
  <c r="I820" i="14"/>
  <c r="J820" i="14" s="1"/>
  <c r="I817" i="14"/>
  <c r="J817" i="14" s="1"/>
  <c r="D324" i="3"/>
  <c r="D370" i="3"/>
  <c r="D326" i="3"/>
  <c r="B371" i="3"/>
  <c r="D328" i="3"/>
  <c r="D327" i="3"/>
  <c r="E324" i="3"/>
  <c r="F355" i="3"/>
  <c r="H302" i="3"/>
  <c r="H284" i="3"/>
  <c r="H290" i="3"/>
  <c r="H314" i="3"/>
  <c r="D267" i="3"/>
  <c r="D266" i="3"/>
  <c r="H296" i="3"/>
  <c r="H308" i="3"/>
  <c r="D268" i="3"/>
  <c r="D264" i="3"/>
  <c r="D253" i="3"/>
  <c r="D251" i="3"/>
  <c r="D252" i="3"/>
  <c r="D254" i="3"/>
  <c r="D256" i="3"/>
  <c r="D208" i="3"/>
  <c r="D212" i="3"/>
  <c r="D207" i="3"/>
  <c r="D206" i="3"/>
  <c r="D211" i="3"/>
  <c r="D210" i="3"/>
  <c r="D205" i="3"/>
  <c r="D209" i="3"/>
  <c r="H543" i="1" l="1"/>
  <c r="H544" i="1" s="1"/>
  <c r="G550" i="1" s="1"/>
  <c r="J1116" i="14"/>
  <c r="D1138" i="14" s="1"/>
  <c r="J825" i="14"/>
  <c r="D846" i="14" s="1"/>
  <c r="J937" i="14"/>
  <c r="D959" i="14" s="1"/>
  <c r="D329" i="3"/>
  <c r="D331" i="3" s="1"/>
  <c r="D332" i="3" s="1"/>
  <c r="F324" i="3" s="1"/>
  <c r="D269" i="3"/>
  <c r="D271" i="3" s="1"/>
  <c r="D272" i="3" s="1"/>
  <c r="D257" i="3"/>
  <c r="D259" i="3" s="1"/>
  <c r="D260" i="3" s="1"/>
  <c r="D213" i="3"/>
  <c r="D215" i="3" s="1"/>
  <c r="D216" i="3" s="1"/>
  <c r="F204" i="3" s="1"/>
  <c r="F191" i="3" l="1"/>
  <c r="B197" i="3"/>
  <c r="C191" i="3"/>
  <c r="C192" i="3"/>
  <c r="C193" i="3"/>
  <c r="C194" i="3"/>
  <c r="C195" i="3"/>
  <c r="C196" i="3"/>
  <c r="C190" i="3"/>
  <c r="B182" i="3"/>
  <c r="C177" i="3"/>
  <c r="C178" i="3"/>
  <c r="C179" i="3"/>
  <c r="C180" i="3"/>
  <c r="C181" i="3"/>
  <c r="C176" i="3"/>
  <c r="D165" i="3"/>
  <c r="F161" i="3"/>
  <c r="F162" i="3"/>
  <c r="F163" i="3"/>
  <c r="F164" i="3"/>
  <c r="F160" i="3"/>
  <c r="C234" i="3"/>
  <c r="C225" i="3"/>
  <c r="D223" i="3"/>
  <c r="D224" i="3"/>
  <c r="D231" i="3"/>
  <c r="D232" i="3"/>
  <c r="D233" i="3"/>
  <c r="D222" i="3"/>
  <c r="C121" i="3"/>
  <c r="E120" i="3"/>
  <c r="E119" i="3"/>
  <c r="C99" i="3"/>
  <c r="B100" i="3"/>
  <c r="H88" i="3"/>
  <c r="H87" i="3"/>
  <c r="H86" i="3"/>
  <c r="E88" i="3"/>
  <c r="E87" i="3"/>
  <c r="E86" i="3"/>
  <c r="B82" i="3"/>
  <c r="A82" i="3"/>
  <c r="C63" i="3"/>
  <c r="C64" i="3" s="1"/>
  <c r="C65" i="3" s="1"/>
  <c r="C66" i="3" s="1"/>
  <c r="C67" i="3" s="1"/>
  <c r="C68" i="3" s="1"/>
  <c r="C69" i="3" s="1"/>
  <c r="C70" i="3" s="1"/>
  <c r="B60" i="3"/>
  <c r="B59" i="3"/>
  <c r="A59" i="3"/>
  <c r="C41" i="3"/>
  <c r="C42" i="3" s="1"/>
  <c r="C43" i="3" s="1"/>
  <c r="C44" i="3" s="1"/>
  <c r="C45" i="3" s="1"/>
  <c r="C46" i="3" s="1"/>
  <c r="C47" i="3" s="1"/>
  <c r="A37" i="3"/>
  <c r="C22" i="3"/>
  <c r="C23" i="3" s="1"/>
  <c r="C24" i="3" s="1"/>
  <c r="C25" i="3" s="1"/>
  <c r="C26" i="3" s="1"/>
  <c r="C27" i="3" s="1"/>
  <c r="F3" i="3"/>
  <c r="F4" i="3" s="1"/>
  <c r="F5" i="3" s="1"/>
  <c r="F6" i="3" s="1"/>
  <c r="F7" i="3" s="1"/>
  <c r="A90" i="2"/>
  <c r="A93" i="2"/>
  <c r="A80" i="2"/>
  <c r="C100" i="2"/>
  <c r="B100" i="2"/>
  <c r="A100" i="2"/>
  <c r="A96" i="2"/>
  <c r="B87" i="2"/>
  <c r="A87" i="2"/>
  <c r="A83" i="2"/>
  <c r="B77" i="2"/>
  <c r="A77" i="2"/>
  <c r="A64" i="2"/>
  <c r="A54" i="2"/>
  <c r="A51" i="2"/>
  <c r="B51" i="2" s="1"/>
  <c r="A47" i="2"/>
  <c r="C47" i="2" s="1"/>
  <c r="E43" i="2"/>
  <c r="D43" i="2"/>
  <c r="A42" i="2"/>
  <c r="E42" i="2" s="1"/>
  <c r="A38" i="2"/>
  <c r="A37" i="2"/>
  <c r="A29" i="2"/>
  <c r="B29" i="2" s="1"/>
  <c r="B34" i="2"/>
  <c r="A34" i="2"/>
  <c r="A24" i="2"/>
  <c r="A20" i="2"/>
  <c r="A16" i="2"/>
  <c r="A12" i="2"/>
  <c r="B12" i="2" s="1"/>
  <c r="C7" i="2"/>
  <c r="F477" i="1"/>
  <c r="H477" i="1" s="1"/>
  <c r="F476" i="1"/>
  <c r="F475" i="1"/>
  <c r="F474" i="1"/>
  <c r="F473" i="1"/>
  <c r="F472" i="1"/>
  <c r="F471" i="1"/>
  <c r="F470" i="1"/>
  <c r="E470" i="1" s="1"/>
  <c r="C524" i="1"/>
  <c r="C525" i="1"/>
  <c r="C526" i="1"/>
  <c r="C527" i="1"/>
  <c r="C528" i="1"/>
  <c r="B529" i="1"/>
  <c r="D682" i="1"/>
  <c r="D683" i="1"/>
  <c r="D684" i="1"/>
  <c r="D685" i="1"/>
  <c r="D686" i="1"/>
  <c r="D687" i="1"/>
  <c r="D681" i="1"/>
  <c r="C665" i="1"/>
  <c r="H668" i="1" s="1"/>
  <c r="D656" i="1"/>
  <c r="D657" i="1"/>
  <c r="D658" i="1"/>
  <c r="D655" i="1"/>
  <c r="B659" i="1"/>
  <c r="E659" i="1" s="1"/>
  <c r="C672" i="1" s="1"/>
  <c r="D625" i="1"/>
  <c r="D626" i="1" s="1"/>
  <c r="D627" i="1" s="1"/>
  <c r="D628" i="1" s="1"/>
  <c r="D629" i="1" s="1"/>
  <c r="C634" i="1"/>
  <c r="C636" i="1" s="1"/>
  <c r="H639" i="1" s="1"/>
  <c r="G626" i="1"/>
  <c r="G627" i="1"/>
  <c r="G628" i="1"/>
  <c r="G629" i="1"/>
  <c r="G625" i="1"/>
  <c r="B630" i="1"/>
  <c r="C628" i="1" s="1"/>
  <c r="C642" i="1" s="1"/>
  <c r="B599" i="1"/>
  <c r="C596" i="1" s="1"/>
  <c r="F595" i="1"/>
  <c r="F596" i="1"/>
  <c r="F597" i="1"/>
  <c r="F598" i="1"/>
  <c r="F594" i="1"/>
  <c r="E588" i="1"/>
  <c r="E587" i="1"/>
  <c r="D589" i="1"/>
  <c r="F552" i="1" s="1"/>
  <c r="C586" i="1"/>
  <c r="C585" i="1"/>
  <c r="F551" i="1" s="1"/>
  <c r="C584" i="1"/>
  <c r="C582" i="1"/>
  <c r="B579" i="1"/>
  <c r="B580" i="1"/>
  <c r="D453" i="1"/>
  <c r="D452" i="1"/>
  <c r="D443" i="1"/>
  <c r="D442" i="1"/>
  <c r="D399" i="1"/>
  <c r="D400" i="1" s="1"/>
  <c r="E400" i="1" s="1"/>
  <c r="C395" i="1"/>
  <c r="A395" i="1"/>
  <c r="C384" i="1"/>
  <c r="C385" i="1" s="1"/>
  <c r="C387" i="1" s="1"/>
  <c r="C373" i="1"/>
  <c r="A373" i="1"/>
  <c r="C362" i="1"/>
  <c r="C363" i="1" s="1"/>
  <c r="C365" i="1" s="1"/>
  <c r="C348" i="1"/>
  <c r="C350" i="1" s="1"/>
  <c r="C338" i="1"/>
  <c r="C340" i="1" s="1"/>
  <c r="C324" i="1"/>
  <c r="D324" i="1"/>
  <c r="E324" i="1"/>
  <c r="B324" i="1"/>
  <c r="D310" i="1"/>
  <c r="D309" i="1"/>
  <c r="C310" i="1"/>
  <c r="C309" i="1"/>
  <c r="B308" i="1"/>
  <c r="B306" i="1"/>
  <c r="B304" i="1"/>
  <c r="C303" i="1"/>
  <c r="B302" i="1"/>
  <c r="B301" i="1"/>
  <c r="D291" i="1" s="1"/>
  <c r="G291" i="1" s="1"/>
  <c r="D284" i="1"/>
  <c r="D283" i="1"/>
  <c r="C284" i="1"/>
  <c r="C283" i="1"/>
  <c r="B282" i="1"/>
  <c r="B280" i="1"/>
  <c r="B278" i="1"/>
  <c r="D268" i="1" s="1"/>
  <c r="G268" i="1" s="1"/>
  <c r="D261" i="1"/>
  <c r="D260" i="1"/>
  <c r="C261" i="1"/>
  <c r="C260" i="1"/>
  <c r="C259" i="1"/>
  <c r="B258" i="1"/>
  <c r="B256" i="1"/>
  <c r="B254" i="1"/>
  <c r="D246" i="1" s="1"/>
  <c r="G246" i="1" s="1"/>
  <c r="D239" i="1"/>
  <c r="D238" i="1"/>
  <c r="C240" i="1"/>
  <c r="B237" i="1"/>
  <c r="B235" i="1"/>
  <c r="B233" i="1"/>
  <c r="B231" i="1"/>
  <c r="D224" i="1" s="1"/>
  <c r="G224" i="1" s="1"/>
  <c r="D216" i="1"/>
  <c r="D215" i="1"/>
  <c r="C217" i="1"/>
  <c r="B214" i="1"/>
  <c r="B212" i="1"/>
  <c r="B210" i="1"/>
  <c r="D206" i="1" s="1"/>
  <c r="G206" i="1" s="1"/>
  <c r="D197" i="1"/>
  <c r="D196" i="1"/>
  <c r="C196" i="1"/>
  <c r="C198" i="1" s="1"/>
  <c r="B195" i="1"/>
  <c r="B193" i="1"/>
  <c r="B191" i="1"/>
  <c r="D184" i="1" s="1"/>
  <c r="G184" i="1" s="1"/>
  <c r="D176" i="1"/>
  <c r="D175" i="1"/>
  <c r="C177" i="1"/>
  <c r="C174" i="1"/>
  <c r="B173" i="1"/>
  <c r="B171" i="1"/>
  <c r="B169" i="1"/>
  <c r="B167" i="1"/>
  <c r="D157" i="1" s="1"/>
  <c r="C150" i="1"/>
  <c r="C149" i="1"/>
  <c r="D150" i="1"/>
  <c r="D149" i="1"/>
  <c r="C148" i="1"/>
  <c r="B147" i="1"/>
  <c r="B141" i="1"/>
  <c r="D135" i="1" s="1"/>
  <c r="G135" i="1" s="1"/>
  <c r="B145" i="1"/>
  <c r="B143" i="1"/>
  <c r="C122" i="1"/>
  <c r="C121" i="1"/>
  <c r="B120" i="1"/>
  <c r="B119" i="1"/>
  <c r="C103" i="1"/>
  <c r="C102" i="1"/>
  <c r="B101" i="1"/>
  <c r="B100" i="1"/>
  <c r="C86" i="1"/>
  <c r="C85" i="1"/>
  <c r="B84" i="1"/>
  <c r="B83" i="1"/>
  <c r="C69" i="1"/>
  <c r="C68" i="1"/>
  <c r="B67" i="1"/>
  <c r="B66" i="1"/>
  <c r="C37" i="1"/>
  <c r="C35" i="1"/>
  <c r="C54" i="1"/>
  <c r="C53" i="1"/>
  <c r="B52" i="1"/>
  <c r="B51" i="1"/>
  <c r="C34" i="1"/>
  <c r="B33" i="1"/>
  <c r="B32" i="1"/>
  <c r="C15" i="1"/>
  <c r="E471" i="1" l="1"/>
  <c r="E477" i="1"/>
  <c r="H472" i="1"/>
  <c r="H473" i="1"/>
  <c r="H474" i="1"/>
  <c r="H475" i="1"/>
  <c r="H476" i="1"/>
  <c r="E475" i="1"/>
  <c r="C529" i="1"/>
  <c r="C530" i="1" s="1"/>
  <c r="D526" i="1" s="1"/>
  <c r="D659" i="1"/>
  <c r="D660" i="1" s="1"/>
  <c r="E476" i="1"/>
  <c r="H470" i="1"/>
  <c r="D688" i="1"/>
  <c r="E682" i="1" s="1"/>
  <c r="E474" i="1"/>
  <c r="B47" i="2"/>
  <c r="E473" i="1"/>
  <c r="C540" i="1"/>
  <c r="F549" i="1"/>
  <c r="E472" i="1"/>
  <c r="E655" i="1"/>
  <c r="C668" i="1" s="1"/>
  <c r="H471" i="1"/>
  <c r="E656" i="1"/>
  <c r="C669" i="1" s="1"/>
  <c r="D42" i="2"/>
  <c r="D225" i="3"/>
  <c r="D226" i="3" s="1"/>
  <c r="E222" i="3" s="1"/>
  <c r="C182" i="3"/>
  <c r="C183" i="3" s="1"/>
  <c r="D179" i="3" s="1"/>
  <c r="C197" i="3"/>
  <c r="C198" i="3" s="1"/>
  <c r="D196" i="3" s="1"/>
  <c r="C100" i="3"/>
  <c r="B101" i="3" s="1"/>
  <c r="C101" i="3" s="1"/>
  <c r="B102" i="3" s="1"/>
  <c r="C102" i="3" s="1"/>
  <c r="F165" i="3"/>
  <c r="F166" i="3" s="1"/>
  <c r="D234" i="3"/>
  <c r="D235" i="3" s="1"/>
  <c r="E121" i="3"/>
  <c r="E122" i="3" s="1"/>
  <c r="F119" i="3" s="1"/>
  <c r="C557" i="1"/>
  <c r="C553" i="1"/>
  <c r="C549" i="1"/>
  <c r="C545" i="1"/>
  <c r="C541" i="1"/>
  <c r="C558" i="1"/>
  <c r="C554" i="1"/>
  <c r="C550" i="1"/>
  <c r="C546" i="1"/>
  <c r="C542" i="1"/>
  <c r="C555" i="1"/>
  <c r="C551" i="1"/>
  <c r="C547" i="1"/>
  <c r="C543" i="1"/>
  <c r="C539" i="1"/>
  <c r="C556" i="1"/>
  <c r="C552" i="1"/>
  <c r="C548" i="1"/>
  <c r="C544" i="1"/>
  <c r="D444" i="1"/>
  <c r="D445" i="1" s="1"/>
  <c r="E589" i="1"/>
  <c r="E657" i="1"/>
  <c r="C670" i="1" s="1"/>
  <c r="E658" i="1"/>
  <c r="C671" i="1" s="1"/>
  <c r="G630" i="1"/>
  <c r="G631" i="1" s="1"/>
  <c r="H626" i="1" s="1"/>
  <c r="C597" i="1"/>
  <c r="C608" i="1" s="1"/>
  <c r="C598" i="1"/>
  <c r="C609" i="1" s="1"/>
  <c r="C607" i="1"/>
  <c r="F599" i="1"/>
  <c r="F600" i="1" s="1"/>
  <c r="H605" i="1" s="1"/>
  <c r="C594" i="1"/>
  <c r="C595" i="1"/>
  <c r="C629" i="1"/>
  <c r="C643" i="1" s="1"/>
  <c r="C630" i="1"/>
  <c r="C644" i="1" s="1"/>
  <c r="C626" i="1"/>
  <c r="C625" i="1"/>
  <c r="E625" i="1" s="1"/>
  <c r="C627" i="1"/>
  <c r="C631" i="1"/>
  <c r="C575" i="1"/>
  <c r="C571" i="1"/>
  <c r="C567" i="1"/>
  <c r="C563" i="1"/>
  <c r="C559" i="1"/>
  <c r="C576" i="1"/>
  <c r="C572" i="1"/>
  <c r="C568" i="1"/>
  <c r="C564" i="1"/>
  <c r="C560" i="1"/>
  <c r="C577" i="1"/>
  <c r="C573" i="1"/>
  <c r="C569" i="1"/>
  <c r="C565" i="1"/>
  <c r="C561" i="1"/>
  <c r="C578" i="1"/>
  <c r="C574" i="1"/>
  <c r="C570" i="1"/>
  <c r="C566" i="1"/>
  <c r="C562" i="1"/>
  <c r="D285" i="1"/>
  <c r="C311" i="1"/>
  <c r="D401" i="1"/>
  <c r="D402" i="1" s="1"/>
  <c r="D403" i="1" s="1"/>
  <c r="E366" i="1"/>
  <c r="C366" i="1"/>
  <c r="C388" i="1"/>
  <c r="E388" i="1"/>
  <c r="C351" i="1"/>
  <c r="E351" i="1"/>
  <c r="C341" i="1"/>
  <c r="E341" i="1"/>
  <c r="D311" i="1"/>
  <c r="C262" i="1"/>
  <c r="D298" i="1"/>
  <c r="G298" i="1" s="1"/>
  <c r="D290" i="1"/>
  <c r="G290" i="1" s="1"/>
  <c r="D294" i="1"/>
  <c r="G294" i="1" s="1"/>
  <c r="D300" i="1"/>
  <c r="G300" i="1" s="1"/>
  <c r="D296" i="1"/>
  <c r="G296" i="1" s="1"/>
  <c r="D292" i="1"/>
  <c r="G292" i="1" s="1"/>
  <c r="D289" i="1"/>
  <c r="G289" i="1" s="1"/>
  <c r="D297" i="1"/>
  <c r="G297" i="1" s="1"/>
  <c r="D293" i="1"/>
  <c r="G293" i="1" s="1"/>
  <c r="D137" i="1"/>
  <c r="G137" i="1" s="1"/>
  <c r="D299" i="1"/>
  <c r="G299" i="1" s="1"/>
  <c r="D295" i="1"/>
  <c r="G295" i="1" s="1"/>
  <c r="D217" i="1"/>
  <c r="C285" i="1"/>
  <c r="D240" i="1"/>
  <c r="D262" i="1"/>
  <c r="D227" i="1"/>
  <c r="H227" i="1" s="1"/>
  <c r="D277" i="1"/>
  <c r="G277" i="1" s="1"/>
  <c r="D273" i="1"/>
  <c r="G273" i="1" s="1"/>
  <c r="D269" i="1"/>
  <c r="G269" i="1" s="1"/>
  <c r="D229" i="1"/>
  <c r="H229" i="1" s="1"/>
  <c r="D266" i="1"/>
  <c r="G266" i="1" s="1"/>
  <c r="D274" i="1"/>
  <c r="G274" i="1" s="1"/>
  <c r="D270" i="1"/>
  <c r="G270" i="1" s="1"/>
  <c r="D221" i="1"/>
  <c r="H221" i="1" s="1"/>
  <c r="D223" i="1"/>
  <c r="H223" i="1" s="1"/>
  <c r="D275" i="1"/>
  <c r="G275" i="1" s="1"/>
  <c r="D271" i="1"/>
  <c r="G271" i="1" s="1"/>
  <c r="D267" i="1"/>
  <c r="G267" i="1" s="1"/>
  <c r="D225" i="1"/>
  <c r="H225" i="1" s="1"/>
  <c r="D276" i="1"/>
  <c r="G276" i="1" s="1"/>
  <c r="D272" i="1"/>
  <c r="G272" i="1" s="1"/>
  <c r="D251" i="1"/>
  <c r="G251" i="1" s="1"/>
  <c r="D198" i="1"/>
  <c r="D208" i="1"/>
  <c r="G208" i="1" s="1"/>
  <c r="D204" i="1"/>
  <c r="G204" i="1" s="1"/>
  <c r="D230" i="1"/>
  <c r="D226" i="1"/>
  <c r="D222" i="1"/>
  <c r="D252" i="1"/>
  <c r="G252" i="1" s="1"/>
  <c r="D248" i="1"/>
  <c r="G248" i="1" s="1"/>
  <c r="D253" i="1"/>
  <c r="G253" i="1" s="1"/>
  <c r="D249" i="1"/>
  <c r="G249" i="1" s="1"/>
  <c r="D245" i="1"/>
  <c r="G245" i="1" s="1"/>
  <c r="D207" i="1"/>
  <c r="G207" i="1" s="1"/>
  <c r="D203" i="1"/>
  <c r="G203" i="1" s="1"/>
  <c r="D247" i="1"/>
  <c r="G247" i="1" s="1"/>
  <c r="D158" i="1"/>
  <c r="H158" i="1" s="1"/>
  <c r="D209" i="1"/>
  <c r="G209" i="1" s="1"/>
  <c r="D205" i="1"/>
  <c r="G205" i="1" s="1"/>
  <c r="D136" i="1"/>
  <c r="G136" i="1" s="1"/>
  <c r="D155" i="1"/>
  <c r="D202" i="1"/>
  <c r="G202" i="1" s="1"/>
  <c r="D228" i="1"/>
  <c r="G228" i="1" s="1"/>
  <c r="D244" i="1"/>
  <c r="G244" i="1" s="1"/>
  <c r="D250" i="1"/>
  <c r="G250" i="1" s="1"/>
  <c r="H224" i="1"/>
  <c r="D166" i="1"/>
  <c r="H166" i="1" s="1"/>
  <c r="D190" i="1"/>
  <c r="G190" i="1" s="1"/>
  <c r="D159" i="1"/>
  <c r="H159" i="1" s="1"/>
  <c r="D182" i="1"/>
  <c r="G182" i="1" s="1"/>
  <c r="D131" i="1"/>
  <c r="G131" i="1" s="1"/>
  <c r="D163" i="1"/>
  <c r="H163" i="1" s="1"/>
  <c r="D186" i="1"/>
  <c r="G186" i="1" s="1"/>
  <c r="D189" i="1"/>
  <c r="G189" i="1" s="1"/>
  <c r="D185" i="1"/>
  <c r="G185" i="1" s="1"/>
  <c r="D133" i="1"/>
  <c r="G133" i="1" s="1"/>
  <c r="H135" i="1"/>
  <c r="D151" i="1"/>
  <c r="D162" i="1"/>
  <c r="H162" i="1" s="1"/>
  <c r="D181" i="1"/>
  <c r="G181" i="1" s="1"/>
  <c r="D187" i="1"/>
  <c r="G187" i="1" s="1"/>
  <c r="D183" i="1"/>
  <c r="G183" i="1" s="1"/>
  <c r="C151" i="1"/>
  <c r="D188" i="1"/>
  <c r="G188" i="1" s="1"/>
  <c r="H157" i="1"/>
  <c r="G157" i="1"/>
  <c r="D140" i="1"/>
  <c r="D132" i="1"/>
  <c r="D164" i="1"/>
  <c r="D160" i="1"/>
  <c r="D156" i="1"/>
  <c r="D165" i="1"/>
  <c r="D161" i="1"/>
  <c r="D177" i="1"/>
  <c r="D138" i="1"/>
  <c r="D134" i="1"/>
  <c r="D139" i="1"/>
  <c r="D527" i="1" l="1"/>
  <c r="D525" i="1"/>
  <c r="F655" i="1"/>
  <c r="D668" i="1" s="1"/>
  <c r="D524" i="1"/>
  <c r="D528" i="1"/>
  <c r="D529" i="1" s="1"/>
  <c r="G524" i="1" s="1"/>
  <c r="E687" i="1"/>
  <c r="G658" i="1"/>
  <c r="E668" i="1"/>
  <c r="H628" i="1"/>
  <c r="E683" i="1"/>
  <c r="E681" i="1"/>
  <c r="E685" i="1"/>
  <c r="E401" i="1"/>
  <c r="E402" i="1" s="1"/>
  <c r="E403" i="1" s="1"/>
  <c r="G655" i="1"/>
  <c r="G657" i="1"/>
  <c r="E684" i="1"/>
  <c r="H155" i="1"/>
  <c r="G155" i="1"/>
  <c r="G598" i="1"/>
  <c r="G656" i="1"/>
  <c r="D692" i="1"/>
  <c r="E686" i="1"/>
  <c r="D446" i="1"/>
  <c r="D447" i="1" s="1"/>
  <c r="D448" i="1" s="1"/>
  <c r="E478" i="1"/>
  <c r="G472" i="1" s="1"/>
  <c r="E99" i="3"/>
  <c r="F190" i="3"/>
  <c r="F192" i="3" s="1"/>
  <c r="E223" i="3"/>
  <c r="D194" i="3"/>
  <c r="D195" i="3"/>
  <c r="D192" i="3"/>
  <c r="D191" i="3"/>
  <c r="D180" i="3"/>
  <c r="D176" i="3"/>
  <c r="D177" i="3"/>
  <c r="D190" i="3"/>
  <c r="D193" i="3"/>
  <c r="D178" i="3"/>
  <c r="D181" i="3"/>
  <c r="F120" i="3"/>
  <c r="F121" i="3" s="1"/>
  <c r="F123" i="3" s="1"/>
  <c r="F124" i="3" s="1"/>
  <c r="G163" i="3"/>
  <c r="G162" i="3"/>
  <c r="G161" i="3"/>
  <c r="G160" i="3"/>
  <c r="G164" i="3"/>
  <c r="E232" i="3"/>
  <c r="E231" i="3"/>
  <c r="E224" i="3"/>
  <c r="E233" i="3"/>
  <c r="B103" i="3"/>
  <c r="C103" i="3" s="1"/>
  <c r="F656" i="1"/>
  <c r="D669" i="1" s="1"/>
  <c r="G596" i="1"/>
  <c r="E639" i="1"/>
  <c r="G595" i="1"/>
  <c r="H625" i="1"/>
  <c r="G594" i="1"/>
  <c r="H629" i="1"/>
  <c r="C640" i="1"/>
  <c r="E626" i="1"/>
  <c r="E627" i="1" s="1"/>
  <c r="E628" i="1" s="1"/>
  <c r="E629" i="1" s="1"/>
  <c r="C641" i="1"/>
  <c r="H627" i="1"/>
  <c r="C599" i="1"/>
  <c r="D594" i="1"/>
  <c r="D605" i="1" s="1"/>
  <c r="C605" i="1"/>
  <c r="C639" i="1"/>
  <c r="C606" i="1"/>
  <c r="G597" i="1"/>
  <c r="C580" i="1"/>
  <c r="C579" i="1"/>
  <c r="C581" i="1" s="1"/>
  <c r="C583" i="1" s="1"/>
  <c r="F550" i="1" s="1"/>
  <c r="G166" i="1"/>
  <c r="D456" i="1"/>
  <c r="D404" i="1"/>
  <c r="H137" i="1"/>
  <c r="G223" i="1"/>
  <c r="H228" i="1"/>
  <c r="H136" i="1"/>
  <c r="H131" i="1"/>
  <c r="G162" i="1"/>
  <c r="G211" i="1"/>
  <c r="G213" i="1" s="1"/>
  <c r="G305" i="1"/>
  <c r="G307" i="1" s="1"/>
  <c r="G221" i="1"/>
  <c r="G255" i="1"/>
  <c r="G257" i="1" s="1"/>
  <c r="G227" i="1"/>
  <c r="G279" i="1"/>
  <c r="G281" i="1" s="1"/>
  <c r="G163" i="1"/>
  <c r="G159" i="1"/>
  <c r="G229" i="1"/>
  <c r="G225" i="1"/>
  <c r="H226" i="1"/>
  <c r="G226" i="1"/>
  <c r="H222" i="1"/>
  <c r="G222" i="1"/>
  <c r="H230" i="1"/>
  <c r="G230" i="1"/>
  <c r="G158" i="1"/>
  <c r="H133" i="1"/>
  <c r="G192" i="1"/>
  <c r="G194" i="1" s="1"/>
  <c r="H156" i="1"/>
  <c r="G156" i="1"/>
  <c r="H160" i="1"/>
  <c r="G160" i="1"/>
  <c r="G138" i="1"/>
  <c r="H138" i="1"/>
  <c r="G134" i="1"/>
  <c r="H134" i="1"/>
  <c r="H165" i="1"/>
  <c r="G165" i="1"/>
  <c r="G140" i="1"/>
  <c r="H140" i="1"/>
  <c r="G139" i="1"/>
  <c r="H139" i="1"/>
  <c r="H161" i="1"/>
  <c r="G161" i="1"/>
  <c r="H164" i="1"/>
  <c r="G164" i="1"/>
  <c r="G132" i="1"/>
  <c r="H132" i="1"/>
  <c r="E688" i="1" l="1"/>
  <c r="E689" i="1" s="1"/>
  <c r="E692" i="1" s="1"/>
  <c r="G659" i="1"/>
  <c r="G661" i="1" s="1"/>
  <c r="G662" i="1" s="1"/>
  <c r="F657" i="1"/>
  <c r="G477" i="1"/>
  <c r="G471" i="1"/>
  <c r="G475" i="1"/>
  <c r="G470" i="1"/>
  <c r="G476" i="1"/>
  <c r="G474" i="1"/>
  <c r="G473" i="1"/>
  <c r="E225" i="3"/>
  <c r="E227" i="3" s="1"/>
  <c r="E228" i="3" s="1"/>
  <c r="D197" i="3"/>
  <c r="D199" i="3" s="1"/>
  <c r="D200" i="3" s="1"/>
  <c r="G190" i="3" s="1"/>
  <c r="G165" i="3"/>
  <c r="G167" i="3" s="1"/>
  <c r="G168" i="3" s="1"/>
  <c r="D182" i="3"/>
  <c r="D184" i="3" s="1"/>
  <c r="D185" i="3" s="1"/>
  <c r="E234" i="3"/>
  <c r="E236" i="3" s="1"/>
  <c r="E237" i="3" s="1"/>
  <c r="B104" i="3"/>
  <c r="C104" i="3" s="1"/>
  <c r="B105" i="3" s="1"/>
  <c r="C105" i="3" s="1"/>
  <c r="B106" i="3" s="1"/>
  <c r="C106" i="3" s="1"/>
  <c r="B107" i="3" s="1"/>
  <c r="C107" i="3" s="1"/>
  <c r="B108" i="3" s="1"/>
  <c r="C108" i="3" s="1"/>
  <c r="B109" i="3" s="1"/>
  <c r="C109" i="3" s="1"/>
  <c r="B110" i="3" s="1"/>
  <c r="C110" i="3" s="1"/>
  <c r="B111" i="3" s="1"/>
  <c r="C111" i="3" s="1"/>
  <c r="B112" i="3" s="1"/>
  <c r="C112" i="3" s="1"/>
  <c r="B113" i="3" s="1"/>
  <c r="C113" i="3" s="1"/>
  <c r="B114" i="3" s="1"/>
  <c r="C114" i="3" s="1"/>
  <c r="B115" i="3" s="1"/>
  <c r="C115" i="3" s="1"/>
  <c r="G525" i="1"/>
  <c r="C534" i="1" s="1"/>
  <c r="B534" i="1"/>
  <c r="H630" i="1"/>
  <c r="H632" i="1" s="1"/>
  <c r="F639" i="1" s="1"/>
  <c r="D595" i="1"/>
  <c r="D606" i="1" s="1"/>
  <c r="F658" i="1"/>
  <c r="D671" i="1" s="1"/>
  <c r="D670" i="1"/>
  <c r="G599" i="1"/>
  <c r="G601" i="1" s="1"/>
  <c r="G602" i="1" s="1"/>
  <c r="H608" i="1" s="1"/>
  <c r="D639" i="1"/>
  <c r="D449" i="1"/>
  <c r="G232" i="1"/>
  <c r="G234" i="1" s="1"/>
  <c r="H236" i="1"/>
  <c r="H146" i="1"/>
  <c r="G168" i="1"/>
  <c r="G170" i="1" s="1"/>
  <c r="H172" i="1"/>
  <c r="G142" i="1"/>
  <c r="G144" i="1" s="1"/>
  <c r="F668" i="1" l="1"/>
  <c r="F669" i="1" s="1"/>
  <c r="G478" i="1"/>
  <c r="H633" i="1"/>
  <c r="F640" i="1" s="1"/>
  <c r="D596" i="1"/>
  <c r="D607" i="1" s="1"/>
  <c r="D640" i="1"/>
  <c r="D597" i="1" l="1"/>
  <c r="D608" i="1" s="1"/>
  <c r="D641" i="1"/>
  <c r="D598" i="1" l="1"/>
  <c r="D609" i="1" s="1"/>
  <c r="D642" i="1"/>
  <c r="D643" i="1"/>
  <c r="C502" i="14"/>
  <c r="C503" i="14" s="1"/>
  <c r="C500" i="14"/>
  <c r="E506" i="14" s="1"/>
  <c r="C50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C445" authorId="0" shapeId="0" xr:uid="{00000000-0006-0000-0200-000001000000}">
      <text>
        <r>
          <rPr>
            <b/>
            <sz val="9"/>
            <color indexed="81"/>
            <rFont val="Tahoma"/>
            <family val="2"/>
            <charset val="162"/>
          </rPr>
          <t xml:space="preserve">9 KİŞİDEN DOKUZUNUNDA GELME İHTİMALİ
</t>
        </r>
      </text>
    </comment>
    <comment ref="C446" authorId="0" shapeId="0" xr:uid="{00000000-0006-0000-0200-000002000000}">
      <text>
        <r>
          <rPr>
            <sz val="9"/>
            <color indexed="81"/>
            <rFont val="Tahoma"/>
            <family val="2"/>
            <charset val="162"/>
          </rPr>
          <t xml:space="preserve">
ON KİŞİDEN DOKUZUNUN YA DA ONUNUN GELME İHTİMALİ
</t>
        </r>
      </text>
    </comment>
  </commentList>
</comments>
</file>

<file path=xl/sharedStrings.xml><?xml version="1.0" encoding="utf-8"?>
<sst xmlns="http://schemas.openxmlformats.org/spreadsheetml/2006/main" count="3696" uniqueCount="922">
  <si>
    <t>1. SORU</t>
  </si>
  <si>
    <t xml:space="preserve">HAFTA </t>
  </si>
  <si>
    <t>ŞİKAYET SAYISI</t>
  </si>
  <si>
    <t>ORTALAMA</t>
  </si>
  <si>
    <t>STANDART SAPMA</t>
  </si>
  <si>
    <t>ORTANCA</t>
  </si>
  <si>
    <t>SIRALI</t>
  </si>
  <si>
    <t>2. SORU</t>
  </si>
  <si>
    <t>DEĞERLEME ORANI</t>
  </si>
  <si>
    <t>ARSALAR</t>
  </si>
  <si>
    <t xml:space="preserve">EN SIK DEĞER (MOD) </t>
  </si>
  <si>
    <t>3. SORU</t>
  </si>
  <si>
    <t>TÜKETİCİ FİYAT ENDEKSİ TAHMİNLERİ</t>
  </si>
  <si>
    <t>YEMEK DEĞERLENDİRMELERİ</t>
  </si>
  <si>
    <t>YEMEK DEĞERLENDİRME PUANLARI</t>
  </si>
  <si>
    <t>4. SORU</t>
  </si>
  <si>
    <t>5. SORU</t>
  </si>
  <si>
    <t>KİŞİLER</t>
  </si>
  <si>
    <t>DOĞRU SAYISI</t>
  </si>
  <si>
    <t>6. SORU</t>
  </si>
  <si>
    <t>MAĞAZALAR</t>
  </si>
  <si>
    <t xml:space="preserve">YÜZDELİK ARTIŞ </t>
  </si>
  <si>
    <t>7. SORU</t>
  </si>
  <si>
    <t>ÜST DÜZEY YÖNETİCİLER</t>
  </si>
  <si>
    <t>İKRAMİYELERİ</t>
  </si>
  <si>
    <t>8. SORU</t>
  </si>
  <si>
    <t>Arıza sayıları üzerinden planlama yapmaya çalışan oto tamir servisleri (ortalama)</t>
  </si>
  <si>
    <t>cep telefonu firmaları (ortanca)</t>
  </si>
  <si>
    <t>en uygun bedende giyim eşyası üretmeye çalışan tekstil ve ayakkabı firmaları (en sık değer)</t>
  </si>
  <si>
    <t>9. SORU</t>
  </si>
  <si>
    <t>ANAKÜTLE VARYANSI</t>
  </si>
  <si>
    <t>ANAKÜTLE STANDART SAPMASI</t>
  </si>
  <si>
    <t xml:space="preserve">ORTALAMADAN FARKLAR </t>
  </si>
  <si>
    <t>KARELERİ</t>
  </si>
  <si>
    <t>10. SORU</t>
  </si>
  <si>
    <t>ORTALAMA MUTLAK SAPMA</t>
  </si>
  <si>
    <t>ARALIK</t>
  </si>
  <si>
    <t>KARTİL ARALIĞI</t>
  </si>
  <si>
    <t>MUTLAK</t>
  </si>
  <si>
    <t>1. KARTİL</t>
  </si>
  <si>
    <t>3. KARTİL</t>
  </si>
  <si>
    <t>DÖRDEBÖLENLER (KARTİL) ARALIĞI</t>
  </si>
  <si>
    <t>11. SORU</t>
  </si>
  <si>
    <t>ÖRNEKLEM VARYANSI</t>
  </si>
  <si>
    <t>ÖRNEKLEMİN STANDART SAPMASI</t>
  </si>
  <si>
    <t>12. SORU</t>
  </si>
  <si>
    <t>13. SORU</t>
  </si>
  <si>
    <t>14. SORU</t>
  </si>
  <si>
    <t>15. SORU</t>
  </si>
  <si>
    <t>16. SORU</t>
  </si>
  <si>
    <t>ÖĞRENCİLER</t>
  </si>
  <si>
    <t>DERS ÇALIŞMA SAATLERİ</t>
  </si>
  <si>
    <t>17. SORU</t>
  </si>
  <si>
    <t>A</t>
  </si>
  <si>
    <t>B</t>
  </si>
  <si>
    <t>C</t>
  </si>
  <si>
    <t>D</t>
  </si>
  <si>
    <t>SIRAYLA                      D-B-C-A                   DOĞRU MU?</t>
  </si>
  <si>
    <t>VERİ</t>
  </si>
  <si>
    <t>DOĞRU CEVAP</t>
  </si>
  <si>
    <t>D-B-C-A</t>
  </si>
  <si>
    <t>18. SORU</t>
  </si>
  <si>
    <t>ŞİRKET ALACAK HESAPLARI ($)</t>
  </si>
  <si>
    <t>ÇEBİŞEV</t>
  </si>
  <si>
    <r>
      <t>100*(1-1/m</t>
    </r>
    <r>
      <rPr>
        <vertAlign val="superscript"/>
        <sz val="11"/>
        <color theme="1"/>
        <rFont val="Times New Roman"/>
        <family val="1"/>
        <charset val="162"/>
      </rPr>
      <t>2</t>
    </r>
    <r>
      <rPr>
        <sz val="11"/>
        <color theme="1"/>
        <rFont val="Times New Roman"/>
        <family val="1"/>
        <charset val="162"/>
      </rPr>
      <t>)</t>
    </r>
  </si>
  <si>
    <t>m</t>
  </si>
  <si>
    <t>1-1/m2</t>
  </si>
  <si>
    <t>1/m2</t>
  </si>
  <si>
    <t>m2</t>
  </si>
  <si>
    <t>m*s</t>
  </si>
  <si>
    <t>hesapların %60'ı</t>
  </si>
  <si>
    <t xml:space="preserve">ila </t>
  </si>
  <si>
    <t>dolar</t>
  </si>
  <si>
    <t>arasındadır.</t>
  </si>
  <si>
    <t>hesapların %80'i</t>
  </si>
  <si>
    <t>KAZANÇ ARTIŞI (%)</t>
  </si>
  <si>
    <t>yüzdeleri</t>
  </si>
  <si>
    <t>68% (PARMAK HESABI KURALI)</t>
  </si>
  <si>
    <t>İLA</t>
  </si>
  <si>
    <t>YÜZDELERİ ARASINDA KALACAKTIR.</t>
  </si>
  <si>
    <t>19. SORU</t>
  </si>
  <si>
    <t>20. SORU</t>
  </si>
  <si>
    <t>ARABA LASTİĞİNİN ÖMRÜ(MİL)</t>
  </si>
  <si>
    <t>mil</t>
  </si>
  <si>
    <t>yani araba lastiklerinin %75'inin ömrü</t>
  </si>
  <si>
    <t>Yani ABD'nin en büyük 500 şirketinin %84'ünün (420 şirketin) kazanç oranları;</t>
  </si>
  <si>
    <t>95% (PARMAK HESABI KURALI)</t>
  </si>
  <si>
    <t>BİR STANDART SAPMA KADAR SAPABİLİR ORTALAMADAN. YANİ, ANAKÜTLENİN YÜZDE 68'İ</t>
  </si>
  <si>
    <t xml:space="preserve">İKİ STANDART SAPMA KADAR SAPABİLİR ORTALAMADAN. YANİ, ANAKÜTLENİN YÜZDE 95'İ </t>
  </si>
  <si>
    <t xml:space="preserve">MİL ARASINDA YOL YAPACAKTIR. </t>
  </si>
  <si>
    <t>21. SORU</t>
  </si>
  <si>
    <t>ÖĞRENCİ</t>
  </si>
  <si>
    <t>NOTLARI</t>
  </si>
  <si>
    <t>50-59</t>
  </si>
  <si>
    <t>60-69</t>
  </si>
  <si>
    <t>70-79</t>
  </si>
  <si>
    <t>80-89</t>
  </si>
  <si>
    <t>90-99</t>
  </si>
  <si>
    <t>TOPLAM</t>
  </si>
  <si>
    <t>FREKANS</t>
  </si>
  <si>
    <t>22. SORU</t>
  </si>
  <si>
    <t>DEĞERLEME</t>
  </si>
  <si>
    <t>HİSSELER</t>
  </si>
  <si>
    <t>3-3,5</t>
  </si>
  <si>
    <t>3,5-4</t>
  </si>
  <si>
    <t>4-4,5</t>
  </si>
  <si>
    <t>4,5-5</t>
  </si>
  <si>
    <t>5-5,5</t>
  </si>
  <si>
    <t>5,5-6</t>
  </si>
  <si>
    <t>6-6,5</t>
  </si>
  <si>
    <t>ÖZET VERİ</t>
  </si>
  <si>
    <t>5-6,5</t>
  </si>
  <si>
    <t>4,0-5,0</t>
  </si>
  <si>
    <t>5,0-6,5</t>
  </si>
  <si>
    <t>26. SORU</t>
  </si>
  <si>
    <t>fimi</t>
  </si>
  <si>
    <t>mi</t>
  </si>
  <si>
    <t>fi</t>
  </si>
  <si>
    <t>ÇARPIMLARI</t>
  </si>
  <si>
    <t>(15 kere tekrar ediyor)</t>
  </si>
  <si>
    <t>Anakütle varysansı</t>
  </si>
  <si>
    <t>Anakütle standart sapması</t>
  </si>
  <si>
    <r>
      <t>(1-2-</t>
    </r>
    <r>
      <rPr>
        <sz val="11"/>
        <color rgb="FFFF0000"/>
        <rFont val="Times New Roman"/>
        <family val="1"/>
        <charset val="162"/>
      </rPr>
      <t>3</t>
    </r>
    <r>
      <rPr>
        <sz val="11"/>
        <color theme="1"/>
        <rFont val="Times New Roman"/>
        <family val="1"/>
        <charset val="162"/>
      </rPr>
      <t>-4-5)</t>
    </r>
  </si>
  <si>
    <t>28. SORU</t>
  </si>
  <si>
    <t>FARKLARININ KARESİ</t>
  </si>
  <si>
    <t>DÖRDEBÖLENLER ARALIĞI</t>
  </si>
  <si>
    <t>32. SORU</t>
  </si>
  <si>
    <t>0-4</t>
  </si>
  <si>
    <t>4_8</t>
  </si>
  <si>
    <t>8_12</t>
  </si>
  <si>
    <t>12_16</t>
  </si>
  <si>
    <t>16_20</t>
  </si>
  <si>
    <t>ÖĞRENCİ SAYISI (FREKANS)</t>
  </si>
  <si>
    <t>ÇALIŞMA SÜRELERİ</t>
  </si>
  <si>
    <t>VARYANS</t>
  </si>
  <si>
    <t>fi*(mi-x_)^2</t>
  </si>
  <si>
    <t>BİRİKİMLİ SIKLIKLAR</t>
  </si>
  <si>
    <t>GÖRELİ SIKLIKLAR</t>
  </si>
  <si>
    <t>E</t>
  </si>
  <si>
    <t>F</t>
  </si>
  <si>
    <t>13. KİŞİ YANİ 8-12 SINIFINA DÜŞER</t>
  </si>
  <si>
    <t>G</t>
  </si>
  <si>
    <t>NOT: EN SIK DEĞER 8 KİŞİNİN YER ALDIĞI 8-12 SINIFI OLACAKTIR.</t>
  </si>
  <si>
    <t>34. SORU</t>
  </si>
  <si>
    <t>KESTİRİM</t>
  </si>
  <si>
    <t>UZMAN SAYISI</t>
  </si>
  <si>
    <t>9,95-10,45</t>
  </si>
  <si>
    <t>10,45-10,95</t>
  </si>
  <si>
    <t>10,95-11,45</t>
  </si>
  <si>
    <t>11,45-11,95</t>
  </si>
  <si>
    <t>11,95-12,45</t>
  </si>
  <si>
    <t>ÖRNEKLEM STANDART SAPMASI</t>
  </si>
  <si>
    <t>H</t>
  </si>
  <si>
    <t>I</t>
  </si>
  <si>
    <t>BİRİKİMLİ GÖRELİ SIKLIKLAR</t>
  </si>
  <si>
    <t>NOT: B ŞIKKINA BAKTIĞIMIZDA GÖZLEMLERİN EN ÇOK  10,45-10,95 DEĞERLERİ ARASINDA YOĞUNLAŞTIKLARININ GÖRMEKTEYİZ. D ŞIKKINA BAKTIĞIMIZDA ÖRNEKLEMDE YER ALAN GÖZLEMLERİN % 95'İNİN 11,95 DEĞERİNİN ALTINDA KALDIĞINI GÖRMEKTEYİZ.</t>
  </si>
  <si>
    <t>36. SORU</t>
  </si>
  <si>
    <t>ÖĞRENCİ SAYISI</t>
  </si>
  <si>
    <t>BEKLEME SÜRESİ (SAAT)</t>
  </si>
  <si>
    <t>0_1</t>
  </si>
  <si>
    <t>1_2</t>
  </si>
  <si>
    <t>2_3</t>
  </si>
  <si>
    <t>3_4</t>
  </si>
  <si>
    <t>38. SORU</t>
  </si>
  <si>
    <t>15000-20000</t>
  </si>
  <si>
    <t>20000-25000</t>
  </si>
  <si>
    <t>25000-30000</t>
  </si>
  <si>
    <t>30000-40000</t>
  </si>
  <si>
    <t>40000-50000</t>
  </si>
  <si>
    <t>50000-60000</t>
  </si>
  <si>
    <t>10000-15000</t>
  </si>
  <si>
    <t>HANEHALKI GELİRLERİ</t>
  </si>
  <si>
    <t>GÖRELİ SIKLIK</t>
  </si>
  <si>
    <t xml:space="preserve">ORTALAMA VE ORTANCAYA BAKTIĞIMIZDA ORTALAMANIN DAHA BÜYÜK OLDUĞUNU GÖRÜRÜZ BU DA EKSERİ NÜFUSUN ORTALAMANIN ALTINDA KALDIĞINI YANİ HİSTOGRAMIMIZIN SAĞA ÇARPIK OLDUĞUNU GÖRÜRÜZ. NÜFÜSUN YARIDAN FAZLASI ORTALAMANIN ALTINDA KALMAKTADIR. BU DA GELİR DAĞILIMI AÇISINDAN İSTENMEYEN BİR DURUMDUR. </t>
  </si>
  <si>
    <t>24. SORU</t>
  </si>
  <si>
    <t>EYALET</t>
  </si>
  <si>
    <t>SENDİKALAŞMA ORANI</t>
  </si>
  <si>
    <t>%</t>
  </si>
  <si>
    <t>SIKLIKLAR (FREKANS)</t>
  </si>
  <si>
    <t>5_10</t>
  </si>
  <si>
    <t>10_15</t>
  </si>
  <si>
    <t>15_20</t>
  </si>
  <si>
    <t>20_25</t>
  </si>
  <si>
    <t>25_30</t>
  </si>
  <si>
    <t>30_35</t>
  </si>
  <si>
    <t>35_40</t>
  </si>
  <si>
    <t>0_5</t>
  </si>
  <si>
    <t>AMBALAJLAMA PLANI</t>
  </si>
  <si>
    <t>PAZARLAMA STRATEJİSİ</t>
  </si>
  <si>
    <t>PAHALI</t>
  </si>
  <si>
    <t>NORMAL</t>
  </si>
  <si>
    <t>UCUZ</t>
  </si>
  <si>
    <t>YOĞUN REKLAM</t>
  </si>
  <si>
    <t>FİYAT KIRMA</t>
  </si>
  <si>
    <t>İNDİRİM KUPONU</t>
  </si>
  <si>
    <t>CEVAP</t>
  </si>
  <si>
    <t>OLASILIKLARI</t>
  </si>
  <si>
    <t>0,33*0,33</t>
  </si>
  <si>
    <t>7!</t>
  </si>
  <si>
    <t>BİR BÖLÜ 5040</t>
  </si>
  <si>
    <t>1/50*1/49</t>
  </si>
  <si>
    <t>FARKLI SEÇİMLER</t>
  </si>
  <si>
    <t>DOĞRU KESTİRİM</t>
  </si>
  <si>
    <t>4/6*3/5*2/4</t>
  </si>
  <si>
    <t>4!</t>
  </si>
  <si>
    <t>3!</t>
  </si>
  <si>
    <t>5*4*3</t>
  </si>
  <si>
    <t>HAYIR</t>
  </si>
  <si>
    <t>23. SORU</t>
  </si>
  <si>
    <t>25. SORU</t>
  </si>
  <si>
    <t>27. SORU</t>
  </si>
  <si>
    <t>29. SORU</t>
  </si>
  <si>
    <t>1/6*1/5*1/4=1/120</t>
  </si>
  <si>
    <t>GERİ GELME SAYISI</t>
  </si>
  <si>
    <t>ORANLAR</t>
  </si>
  <si>
    <t>BİRİKİMLİ OLASILIK</t>
  </si>
  <si>
    <t>ISMARLANAN KAZAN SAYISI</t>
  </si>
  <si>
    <t>OLASILIK</t>
  </si>
  <si>
    <t>ATAŞ SAYISI</t>
  </si>
  <si>
    <t>PAKETLERİN ORANI</t>
  </si>
  <si>
    <t>BİRİKİMLİ ORANLAR</t>
  </si>
  <si>
    <t>YOLCU SAYISI</t>
  </si>
  <si>
    <t>BİRİKİMLİ OLASILIKLAR</t>
  </si>
  <si>
    <t>BOZUK MAL</t>
  </si>
  <si>
    <t>KUSURLU OLMA OLASILIĞI</t>
  </si>
  <si>
    <t>SAĞLAM OLMA OLASILIĞI</t>
  </si>
  <si>
    <t>A VE B ŞIKKININ CEVAPLARININ FARKLI OLMASININ NEDENİ İLKİNDE İKİ PARTİNİN SAĞLAM VE ÇÜRÜK OLMASININ OLASILIKLARI BİRBİRİNİ ETKİLEMEZKEN İKİNCİSİNDE ETKİLEMEKTEDİR.</t>
  </si>
  <si>
    <t>ARANAN KİŞİ SAYISI</t>
  </si>
  <si>
    <t>DOĞRU CEVABU BULMA OLASILIĞI</t>
  </si>
  <si>
    <t xml:space="preserve">BİRİKİMLİ  OLASILIK </t>
  </si>
  <si>
    <t>(ilk iki aramada başarılı olamama olasılığı)</t>
  </si>
  <si>
    <r>
      <t>P(x)=1-0,6</t>
    </r>
    <r>
      <rPr>
        <vertAlign val="superscript"/>
        <sz val="12"/>
        <color theme="1"/>
        <rFont val="Times New Roman"/>
        <family val="1"/>
        <charset val="162"/>
      </rPr>
      <t>x-1</t>
    </r>
    <r>
      <rPr>
        <sz val="12"/>
        <color theme="1"/>
        <rFont val="Times New Roman"/>
        <family val="1"/>
        <charset val="162"/>
      </rPr>
      <t>x</t>
    </r>
  </si>
  <si>
    <r>
      <t>P(x)=0,4*0,6</t>
    </r>
    <r>
      <rPr>
        <vertAlign val="superscript"/>
        <sz val="12"/>
        <color theme="1"/>
        <rFont val="Times New Roman"/>
        <family val="1"/>
        <charset val="162"/>
      </rPr>
      <t>x-1</t>
    </r>
    <r>
      <rPr>
        <sz val="12"/>
        <color theme="1"/>
        <rFont val="Times New Roman"/>
        <family val="1"/>
        <charset val="162"/>
      </rPr>
      <t>x</t>
    </r>
  </si>
  <si>
    <t>hatalı seçim</t>
  </si>
  <si>
    <t>başarılı</t>
  </si>
  <si>
    <t xml:space="preserve">hatasız seçim </t>
  </si>
  <si>
    <t>başarısız</t>
  </si>
  <si>
    <t>seçim sayısı</t>
  </si>
  <si>
    <t>x</t>
  </si>
  <si>
    <t>başarı oranı</t>
  </si>
  <si>
    <t>P(x)</t>
  </si>
  <si>
    <t>p</t>
  </si>
  <si>
    <t>x-p</t>
  </si>
  <si>
    <r>
      <t>P(x) = 0,9</t>
    </r>
    <r>
      <rPr>
        <vertAlign val="superscript"/>
        <sz val="12"/>
        <color theme="1"/>
        <rFont val="Times New Roman"/>
        <family val="1"/>
        <charset val="162"/>
      </rPr>
      <t>x-p</t>
    </r>
    <r>
      <rPr>
        <sz val="12"/>
        <color theme="1"/>
        <rFont val="Times New Roman"/>
        <family val="1"/>
        <charset val="162"/>
      </rPr>
      <t>*0,1</t>
    </r>
    <r>
      <rPr>
        <vertAlign val="superscript"/>
        <sz val="12"/>
        <color theme="1"/>
        <rFont val="Times New Roman"/>
        <family val="1"/>
        <charset val="162"/>
      </rPr>
      <t>p</t>
    </r>
  </si>
  <si>
    <t>P(x) =</t>
  </si>
  <si>
    <t>tek sayı</t>
  </si>
  <si>
    <t>çift sayı</t>
  </si>
  <si>
    <t>toplam</t>
  </si>
  <si>
    <t>ortalama</t>
  </si>
  <si>
    <t>varyans</t>
  </si>
  <si>
    <t>standart sapma</t>
  </si>
  <si>
    <t>hatalı</t>
  </si>
  <si>
    <t>olasılığı</t>
  </si>
  <si>
    <t>NOT:</t>
  </si>
  <si>
    <t>KİTAPTA İSTENEN STANDART SAPMA, FAKAT CEVAP ANAHTARINDA YANLIŞLIKLA VARYANSLAR CEVAP OLARAK SÖYLENMİŞTİR.</t>
  </si>
  <si>
    <t xml:space="preserve">VARYANS </t>
  </si>
  <si>
    <t>MALİYET</t>
  </si>
  <si>
    <t xml:space="preserve">GELİR </t>
  </si>
  <si>
    <t>KAR</t>
  </si>
  <si>
    <t>TOPLAM GELİR</t>
  </si>
  <si>
    <t>SAYI</t>
  </si>
  <si>
    <t>BİRDE SIFIR</t>
  </si>
  <si>
    <t xml:space="preserve">İKİDE BİR </t>
  </si>
  <si>
    <t>İKİDE İKİ</t>
  </si>
  <si>
    <t>ATIŞ</t>
  </si>
  <si>
    <t>İKİDE SIFIR</t>
  </si>
  <si>
    <t xml:space="preserve">ARAYAN SAYISI </t>
  </si>
  <si>
    <t xml:space="preserve">DEĞERLEME </t>
  </si>
  <si>
    <t>ORAN</t>
  </si>
  <si>
    <t>İSTEK SAYISI</t>
  </si>
  <si>
    <t>GAZETE MALİYETİ</t>
  </si>
  <si>
    <t>SATIŞ FİYATI</t>
  </si>
  <si>
    <t>SATIŞ ZARARI</t>
  </si>
  <si>
    <t>EKSİK GAZETE ZARARI</t>
  </si>
  <si>
    <t>MÜŞ TAL</t>
  </si>
  <si>
    <t>BAY TAL</t>
  </si>
  <si>
    <t>MAL</t>
  </si>
  <si>
    <t>GEL</t>
  </si>
  <si>
    <t>FİMİ</t>
  </si>
  <si>
    <t>BOZULMA SAYISI</t>
  </si>
  <si>
    <t>KAZANÇ</t>
  </si>
  <si>
    <t>1. YOL</t>
  </si>
  <si>
    <t>2. YOL</t>
  </si>
  <si>
    <t>3. YOL</t>
  </si>
  <si>
    <t>ORTALAMA GELİR</t>
  </si>
  <si>
    <t xml:space="preserve">CEVAP: 1. YOL EN YÜKSEK BEKLENEN GETİRİYİ SAĞLAMAKTADIR. FAKAT RİSK ÇOK YÜKSEKTİR. ÜÇÜNCÜ YOK GARANTİ OLMAKLA BİRLİKTE GETİRİSİ DÜŞÜKTÜR. BURADA İKİNCİ YOL, BİRİNCİ YOLUN GETİRİSİNE YAKIN YÜKSEK GETİRİSİ OLMASI VE BİRİNCİ YOLA NİSBETEN RİSKİN DAHA DÜŞÜK OLMASI NEDENİYLE BİZİM TAVSİYE EDECEĞİMİZ SEÇENEK OLACAKTIR. </t>
  </si>
  <si>
    <t>ATIŞTIRMA SAYISI (Y)</t>
  </si>
  <si>
    <t>SINAV SAYISI (X)</t>
  </si>
  <si>
    <t>X=3</t>
  </si>
  <si>
    <t>Y</t>
  </si>
  <si>
    <r>
      <t>Cov=E(X,Y)-</t>
    </r>
    <r>
      <rPr>
        <sz val="12"/>
        <color theme="1"/>
        <rFont val="Arial Tur"/>
        <charset val="162"/>
      </rPr>
      <t>µ</t>
    </r>
    <r>
      <rPr>
        <sz val="12"/>
        <color theme="1"/>
        <rFont val="Times New Roman"/>
        <family val="1"/>
        <charset val="162"/>
      </rPr>
      <t>x*</t>
    </r>
    <r>
      <rPr>
        <sz val="12"/>
        <color theme="1"/>
        <rFont val="Arial Tur"/>
        <charset val="162"/>
      </rPr>
      <t>µ</t>
    </r>
    <r>
      <rPr>
        <sz val="12"/>
        <color theme="1"/>
        <rFont val="Times New Roman"/>
        <family val="1"/>
        <charset val="162"/>
      </rPr>
      <t>y</t>
    </r>
  </si>
  <si>
    <t>µx =</t>
  </si>
  <si>
    <t>µy =</t>
  </si>
  <si>
    <t>Cov =</t>
  </si>
  <si>
    <t>E(X,Y) =</t>
  </si>
  <si>
    <t>≠</t>
  </si>
  <si>
    <t>MARJİNAL OLASILIKLARIN(KENAR TOPLAMLARI) ÇARPIMI ORTAK OLASILIKLARA (TABLO İÇİNDEKİ OLASILIKLLAR) EŞİT OLMADIKLARI İÇİN BAĞIMLIDIRLAR.</t>
  </si>
  <si>
    <t>X</t>
  </si>
  <si>
    <t xml:space="preserve">3 SINAV BULUNAN BİR GÜNDE ÖĞRENCİLERİN           HİÇ ABUR CUBUR TÜKETMEME İHTİMALLERİ 0,14;                                             1 ADET TÜKETME İHTİMALLERİ 0,16;                    2 ADET TÜKETME İHTİMALLERİ 0,32;                    3 ADET TÜKETME İHTİMALLERİ 0,37;                                 DÖRT ADET TÜKETME İHTİMALLERİ 0'DIR.         ÇÜNKÜ BUNLAR BÜTÜNÜ TAMAMLAYICI(TOPLAMI 1) VE BAĞDAŞMAZ (AYRIK) OLAYLARDIR. </t>
  </si>
  <si>
    <t>SATIR SAYISI (Y)</t>
  </si>
  <si>
    <t xml:space="preserve">BAŞVURU HACMİ                                                        (X) </t>
  </si>
  <si>
    <t xml:space="preserve">BAŞVURU HACMİ (X) </t>
  </si>
  <si>
    <t xml:space="preserve">BAŞVURU HACMİ  YOKKEN (X=0) SATIR SAYILARININ 3, 4 VE 5 OLMA İHTİMALLERİ YANDAKİ HÜCRELERDEKİ GİBİDİR.  </t>
  </si>
  <si>
    <t>Y(=5)</t>
  </si>
  <si>
    <t>30. SORU</t>
  </si>
  <si>
    <t>31. SORU</t>
  </si>
  <si>
    <t>33. SORU</t>
  </si>
  <si>
    <t xml:space="preserve">BİLET SAYISI </t>
  </si>
  <si>
    <t>35. SORU</t>
  </si>
  <si>
    <t>BAŞARI SAYISI</t>
  </si>
  <si>
    <t>PUAN</t>
  </si>
  <si>
    <t>fi*mi</t>
  </si>
  <si>
    <t>OLASILIĞI</t>
  </si>
  <si>
    <t>GERİ DÖNEN ARABA SAYISI</t>
  </si>
  <si>
    <t>37. SORU</t>
  </si>
  <si>
    <t>BİNOM DAĞIIMLARINDA STANDART SAPMA FORMÜLÜ</t>
  </si>
  <si>
    <t>=</t>
  </si>
  <si>
    <t>ARAMA SAYISI</t>
  </si>
  <si>
    <t>n.p</t>
  </si>
  <si>
    <t>İTİBAR KAYBI ORTALAMASI</t>
  </si>
  <si>
    <t>İTİBAR KAYBI STANDART SAPMASI</t>
  </si>
  <si>
    <t>N</t>
  </si>
  <si>
    <t>39. SORU</t>
  </si>
  <si>
    <t>CEZA SAYISI</t>
  </si>
  <si>
    <t>CEZA ($)</t>
  </si>
  <si>
    <t>ÖDENEN</t>
  </si>
  <si>
    <t>ÖDEYEN SAYISI</t>
  </si>
  <si>
    <t>ÖDEYEN STANDART SAPMASI</t>
  </si>
  <si>
    <t>TAHSİLAT ORTALAMASI ($)</t>
  </si>
  <si>
    <t>TAHSİLAT STANDART SAPMASI ($)</t>
  </si>
  <si>
    <t>40. SORU</t>
  </si>
  <si>
    <t>41. SORU</t>
  </si>
  <si>
    <t>İKİNCİ KURAL</t>
  </si>
  <si>
    <t>42. SORU</t>
  </si>
  <si>
    <t xml:space="preserve">1. SATICI </t>
  </si>
  <si>
    <t>2. SATICI</t>
  </si>
  <si>
    <t>KUSURLU ORANI</t>
  </si>
  <si>
    <t>SATINALMA ORANI</t>
  </si>
  <si>
    <t>HATALI ÜRÜNLERİN SATICILARA ORNSAL DAĞILIMI</t>
  </si>
  <si>
    <t>BİRİNCİ SATICIDAN GELME İHTİMALİ</t>
  </si>
  <si>
    <t>43. SORU</t>
  </si>
  <si>
    <t>44. SORU</t>
  </si>
  <si>
    <t>45. SORU</t>
  </si>
  <si>
    <t>46. SORU</t>
  </si>
  <si>
    <t>47. SORU</t>
  </si>
  <si>
    <t xml:space="preserve">e = </t>
  </si>
  <si>
    <t>0 müşteri</t>
  </si>
  <si>
    <t>1 müşteri</t>
  </si>
  <si>
    <t>2 müşteri</t>
  </si>
  <si>
    <t>2 ve daha az müşteri</t>
  </si>
  <si>
    <t>x =</t>
  </si>
  <si>
    <t>λ =</t>
  </si>
  <si>
    <t>48. SORU</t>
  </si>
  <si>
    <t>3 müşteri</t>
  </si>
  <si>
    <t>4 müşteri</t>
  </si>
  <si>
    <t>5 müşteri</t>
  </si>
  <si>
    <t>49. SORU</t>
  </si>
  <si>
    <t>50. SORU</t>
  </si>
  <si>
    <t>51. SORU</t>
  </si>
  <si>
    <t>52. SORU</t>
  </si>
  <si>
    <t>53. SORU</t>
  </si>
  <si>
    <t>(n.p)</t>
  </si>
  <si>
    <t>54. SORU</t>
  </si>
  <si>
    <t>55. SORU</t>
  </si>
  <si>
    <t>ÖRNEĞİN BİR ZARI HAVAYA ATTIĞIMIZDA 1 GELMESİ OLASILIĞI 1/6'DIR. BU ASLINDA ONUN BEKLENEN DEĞERİDİR. ÇÜNKÜ BU KESİNLİK TAŞISA ZARI HAVAYA 60 KEZ ATTIĞIMIZDA TAM 10 KEZ 1 GELMESİNİ BEKLERİZ. HALBUKİ HİÇ 1' DE GELMEYEBİLİR TAM 60 KEZ 1'DE GELEBİLİR. 10 KEZ 1 GELMESİNİ BEKLERİZ.</t>
  </si>
  <si>
    <t>56. SORU</t>
  </si>
  <si>
    <t xml:space="preserve">ORTALAMA OLARAK YA DA GENEL OLARAK ÇIKAR. OLAĞANÜSTÜ BİR DURUM OLMADIKÇA </t>
  </si>
  <si>
    <t>57. SORU</t>
  </si>
  <si>
    <t>ONBİNLERCE ÜRÜN İÇİNDEN SEÇİLEN BELLİ BİR ÖRNEKLEMİN HATALI OLMA OLASILIKLARI</t>
  </si>
  <si>
    <t>BİRKAÇ ÇİFT MAKİNEDEN HANGİLERİNİN BOZULABİLECEĞİNİ TAHMİN EDERKEN</t>
  </si>
  <si>
    <t>ORTALAMASI VERİLEN BİR NİCELİĞİN MUHTELİF SONUÇLARININ OLASILIKLARINI KESTİRMEDE</t>
  </si>
  <si>
    <t xml:space="preserve"> C</t>
  </si>
  <si>
    <t>58. SORU</t>
  </si>
  <si>
    <t>DEĞİŞKENİN HANGİ DEĞERLER ARASINDA SEYREDEBİLECEĞİ VE BUNLARIN OLASILIĞI</t>
  </si>
  <si>
    <t>3'TEN ÇOK GİBİ BİR OLASIĞININ NETİCESİNİN DOĞRUDAN GÖRÜLMESİNİ SAĞLAR</t>
  </si>
  <si>
    <t>GÖZLEMLERİN %68'İNİN HANGİ ARALIKTA DAĞILABİLECEĞİNİ VE ORTALAMADAN SAPMALARIN ORTALAMASINI, GÖZLEMLERİN YAYIKLIK ÖLÇÜSÜNÜ GÖREBİLMEYİ SAĞLAR</t>
  </si>
  <si>
    <t>İKİ DEĞİŞKENİN BAĞIMLI OLUP OLMADIKLARINI BAĞIMLIYSA, DOĞRU ORANTILI MI YOKSA TERS ORANTILIMI GÜÇLÜ MÜ ZAYIF MI BAĞININ BULUNDUĞUNU SÖYLER</t>
  </si>
  <si>
    <t>59. SORU</t>
  </si>
  <si>
    <t>SÜRE (GÜN)</t>
  </si>
  <si>
    <t>GÜN</t>
  </si>
  <si>
    <t>60. SORU</t>
  </si>
  <si>
    <t>ARABA SAYISI</t>
  </si>
  <si>
    <t>61. SORU</t>
  </si>
  <si>
    <t>TOPLAM PUAN</t>
  </si>
  <si>
    <t>62. SORU</t>
  </si>
  <si>
    <t>DERSE DEVAMLILIK -AKADEMİK BAŞARI</t>
  </si>
  <si>
    <t>HAZIR BESLENME - AKADEMİK BAŞARI</t>
  </si>
  <si>
    <t>GİYİM TARZI - AKADEMİK BAŞARI</t>
  </si>
  <si>
    <t>63. SORU</t>
  </si>
  <si>
    <t>KUL. OLASILIKLARI</t>
  </si>
  <si>
    <t>ARABLAR</t>
  </si>
  <si>
    <t>KULLANIMA AÇIK ARAÇ SAYISI</t>
  </si>
  <si>
    <t>64. SORU</t>
  </si>
  <si>
    <t>GEZİ SAYISI (Y)</t>
  </si>
  <si>
    <t>OKULDA GEÇEN YIL (X)</t>
  </si>
  <si>
    <t xml:space="preserve">AYNI YÖNLÜ İLİŞKİ SÖZ KONUSUDUR FAKAT GÜCÜ HAKKINDA NET BİR ŞEY SÖYLEMEK DOĞRU DEĞİLDİR. </t>
  </si>
  <si>
    <t>65. SORU</t>
  </si>
  <si>
    <t xml:space="preserve">ATIŞ SAYISI </t>
  </si>
  <si>
    <t>ATIŞLARIN SONUÇLARI BİRBİRİNDEN BAĞIMSIZDIR.</t>
  </si>
  <si>
    <t>66. SORU</t>
  </si>
  <si>
    <t>67. SORU</t>
  </si>
  <si>
    <t>68. SORU</t>
  </si>
  <si>
    <t>69. SORU</t>
  </si>
  <si>
    <t>70. SORU</t>
  </si>
  <si>
    <t xml:space="preserve">2 BAŞARILI </t>
  </si>
  <si>
    <t>3 BAŞARILI</t>
  </si>
  <si>
    <t>4 BAŞARILI</t>
  </si>
  <si>
    <t>EN AZ İKİ BAŞARILI</t>
  </si>
  <si>
    <t xml:space="preserve">B </t>
  </si>
  <si>
    <t>71. SORU</t>
  </si>
  <si>
    <t>72. SORU</t>
  </si>
  <si>
    <t xml:space="preserve">STANDART SAPMA </t>
  </si>
  <si>
    <t>GÖZLEM SAYISI</t>
  </si>
  <si>
    <t>?</t>
  </si>
  <si>
    <t>i</t>
  </si>
  <si>
    <t>ii</t>
  </si>
  <si>
    <t>iii</t>
  </si>
  <si>
    <t>Z</t>
  </si>
  <si>
    <t>ÖRNEKLEMDEKİ GÖZLEM SAYISI ARTTIKÇA STANDART HATA KÜÇÜLÜR. STANDART HATA KÜÇÜLDÜKÇE ORTALAMADAN UZAKLAŞMA İHTİMALİ O KADAR KÜÇÜLÜR. TAHMİN GÜVENİRLİĞİ ARTAR</t>
  </si>
  <si>
    <t>STANDART HATA</t>
  </si>
  <si>
    <t>ÖRNEKLEMİN STANDART HATASI</t>
  </si>
  <si>
    <t>114000-116000</t>
  </si>
  <si>
    <t>X ORTALAMA</t>
  </si>
  <si>
    <t>F(X)</t>
  </si>
  <si>
    <t>DELTA X</t>
  </si>
  <si>
    <t>YÜZDELİK Z (EXCEL)</t>
  </si>
  <si>
    <t>F(X)*(DELTA X)</t>
  </si>
  <si>
    <t>ÜS</t>
  </si>
  <si>
    <t xml:space="preserve">YÜZDELİK Z </t>
  </si>
  <si>
    <t>X = F(X) GRAFİĞİ</t>
  </si>
  <si>
    <t>BİRİKİMLİ X = F(X) FONKSİYONUNUN GRAFİĞİ</t>
  </si>
  <si>
    <t xml:space="preserve">% </t>
  </si>
  <si>
    <t>DÜŞER</t>
  </si>
  <si>
    <t>YÜKSELİR</t>
  </si>
  <si>
    <t xml:space="preserve">STANDART SAPMA 60 İKEN </t>
  </si>
  <si>
    <t xml:space="preserve">40 İKEN </t>
  </si>
  <si>
    <t>85 ALTI</t>
  </si>
  <si>
    <t>95 ALTI</t>
  </si>
  <si>
    <t>85 - 95 ARASI</t>
  </si>
  <si>
    <t>STANDART SAPMA DÜŞER</t>
  </si>
  <si>
    <t>19,5 ALTI</t>
  </si>
  <si>
    <t>20,5 ALTI</t>
  </si>
  <si>
    <t>19,5-20,5 ARASI</t>
  </si>
  <si>
    <t>3 DOALR AZ</t>
  </si>
  <si>
    <t>3 DOLAR ÇOK</t>
  </si>
  <si>
    <t>FARK 3 DOLARDAN FAZLA</t>
  </si>
  <si>
    <t>4 DOALR AZ</t>
  </si>
  <si>
    <t>4 DOLAR ÇOK</t>
  </si>
  <si>
    <t>FARK 4 DOLARDAN FAZLA</t>
  </si>
  <si>
    <t>BÜYÜK</t>
  </si>
  <si>
    <t>1 AZ</t>
  </si>
  <si>
    <t>1 ÇOK</t>
  </si>
  <si>
    <t>FARK 1 DEN FAZLA</t>
  </si>
  <si>
    <t>KÜÇÜK</t>
  </si>
  <si>
    <t>ÖRNEKLEMİN GÖZLEM SAYISI</t>
  </si>
  <si>
    <t>ANAKÜTLE GÖZLEMLERİ</t>
  </si>
  <si>
    <t>ÖRNEKLEMLER</t>
  </si>
  <si>
    <t>TEKRAR SAYILARI</t>
  </si>
  <si>
    <t>ÖRNEKLEM ORTALAMASI</t>
  </si>
  <si>
    <r>
      <t>(Xort-</t>
    </r>
    <r>
      <rPr>
        <sz val="12"/>
        <color theme="1"/>
        <rFont val="Arial Tur"/>
        <charset val="162"/>
      </rPr>
      <t>µ</t>
    </r>
    <r>
      <rPr>
        <sz val="10.199999999999999"/>
        <color theme="1"/>
        <rFont val="Times New Roman"/>
        <family val="1"/>
        <charset val="162"/>
      </rPr>
      <t>x)^2</t>
    </r>
  </si>
  <si>
    <r>
      <t>(Xort-</t>
    </r>
    <r>
      <rPr>
        <sz val="12"/>
        <color theme="1"/>
        <rFont val="Arial Tur"/>
        <charset val="162"/>
      </rPr>
      <t>µ</t>
    </r>
    <r>
      <rPr>
        <sz val="10.199999999999999"/>
        <color theme="1"/>
        <rFont val="Times New Roman"/>
        <family val="1"/>
        <charset val="162"/>
      </rPr>
      <t>x)^2*Px(x)</t>
    </r>
  </si>
  <si>
    <t>KİTABIN CEVABI</t>
  </si>
  <si>
    <r>
      <t>(X-</t>
    </r>
    <r>
      <rPr>
        <sz val="12"/>
        <color theme="1"/>
        <rFont val="Arial Tur"/>
        <charset val="162"/>
      </rPr>
      <t>µ</t>
    </r>
    <r>
      <rPr>
        <sz val="10.199999999999999"/>
        <color theme="1"/>
        <rFont val="Times New Roman"/>
        <family val="1"/>
        <charset val="162"/>
      </rPr>
      <t>x)^2</t>
    </r>
  </si>
  <si>
    <t>ÖRNEKLEM</t>
  </si>
  <si>
    <t xml:space="preserve">TOPLAM </t>
  </si>
  <si>
    <t>ANAKÜTLE GÖZLEM SAYISI</t>
  </si>
  <si>
    <t>ÖRNEKLEM GÖZLEM SAYISI</t>
  </si>
  <si>
    <t>ÖRNEKLEM ORTALAMASININ ÖRNEKLEM DAĞILIMININ VARYANSI</t>
  </si>
  <si>
    <t xml:space="preserve">ANAKÜTLE BOYUTU ARTTIKÇA BU VARYANS DEĞERİ YÜKSELMEKTEDİR. </t>
  </si>
  <si>
    <t xml:space="preserve">ANAKÜTLE VE ÖRNEKLEM AYNI BÜYÜKLÜKTE OLDUĞU İÇİN ÖRNEKLEM ORTALAMASININ ÖRNEKLEM DAĞILIMININ VARYANSI SIFIRDIR. </t>
  </si>
  <si>
    <t xml:space="preserve">SONLU ANAKÜTLE DÜZELTME ÇARPANI KULLANILMADIĞI ZAMAN 20 YADA 10000 GÖZLEMLİ ANAKÜTLELERİN BİLE VARYANSI AYNI ÇIKMAKTADIR. KALİBRASYON AÇISINDAN KULLANILMASI GEREKİR. </t>
  </si>
  <si>
    <t>790000 DEN AZ</t>
  </si>
  <si>
    <t>820000 DEN AZ</t>
  </si>
  <si>
    <t>790-820 ARASI</t>
  </si>
  <si>
    <t>10 DK FAZLA AZ</t>
  </si>
  <si>
    <t>10 DK FAZLA ÇOK</t>
  </si>
  <si>
    <t>10 DAK FAZLA FARK OLMASI OLASILIĞI</t>
  </si>
  <si>
    <t>ANAKÜTLE</t>
  </si>
  <si>
    <t xml:space="preserve">31 DEN AZ </t>
  </si>
  <si>
    <t>33 DEN ÇOK</t>
  </si>
  <si>
    <t>31-33 ARASINDA OLMAMA OLASILIĞI</t>
  </si>
  <si>
    <t>0,27 DEN AZ</t>
  </si>
  <si>
    <t>0,33 DEN AZ</t>
  </si>
  <si>
    <t>0,27-0,33 ARASI</t>
  </si>
  <si>
    <t>0,35 DEN AZ</t>
  </si>
  <si>
    <t>0,45 DEN AZ</t>
  </si>
  <si>
    <t>0,4 DEN AZ</t>
  </si>
  <si>
    <t xml:space="preserve">0,4-0,45 ARASINDA OLMA OLASILIĞI </t>
  </si>
  <si>
    <t>0,41-0,43</t>
  </si>
  <si>
    <t>0,18 DEN AZ</t>
  </si>
  <si>
    <t>0,22 DEN AZ</t>
  </si>
  <si>
    <t>YÜKSEK</t>
  </si>
  <si>
    <t>0,29-0,31</t>
  </si>
  <si>
    <t>ÖRNEKLEM ORANI</t>
  </si>
  <si>
    <t>0,03 DEN FAZLA OLMA İHTİMALİ</t>
  </si>
  <si>
    <t>2. ÇÖZÜM</t>
  </si>
  <si>
    <t>0,5 DEN AZ</t>
  </si>
  <si>
    <t>0,6 DEN AZ</t>
  </si>
  <si>
    <t>ÖRNEKLEM BÜYÜKLÜĞÜ</t>
  </si>
  <si>
    <t>(n-1)K</t>
  </si>
  <si>
    <t>K</t>
  </si>
  <si>
    <r>
      <t>P(Sx</t>
    </r>
    <r>
      <rPr>
        <vertAlign val="superscript"/>
        <sz val="12"/>
        <color theme="1"/>
        <rFont val="Times New Roman"/>
        <family val="1"/>
        <charset val="162"/>
      </rPr>
      <t>2</t>
    </r>
    <r>
      <rPr>
        <sz val="12"/>
        <color theme="1"/>
        <rFont val="Times New Roman"/>
        <family val="1"/>
        <charset val="162"/>
      </rPr>
      <t>&gt;3,10)</t>
    </r>
  </si>
  <si>
    <t>SERBESTLİK DERECESİ</t>
  </si>
  <si>
    <r>
      <t>P(Sx</t>
    </r>
    <r>
      <rPr>
        <vertAlign val="superscript"/>
        <sz val="12"/>
        <color theme="1"/>
        <rFont val="Times New Roman"/>
        <family val="1"/>
        <charset val="162"/>
      </rPr>
      <t>2</t>
    </r>
    <r>
      <rPr>
        <sz val="12"/>
        <color theme="1"/>
        <rFont val="Times New Roman"/>
        <family val="1"/>
        <charset val="162"/>
      </rPr>
      <t>&lt;6,25)</t>
    </r>
  </si>
  <si>
    <r>
      <t>P(Sx</t>
    </r>
    <r>
      <rPr>
        <vertAlign val="superscript"/>
        <sz val="12"/>
        <color theme="1"/>
        <rFont val="Times New Roman"/>
        <family val="1"/>
        <charset val="162"/>
      </rPr>
      <t>2</t>
    </r>
    <r>
      <rPr>
        <sz val="12"/>
        <color theme="1"/>
        <rFont val="Times New Roman"/>
        <family val="1"/>
        <charset val="162"/>
      </rPr>
      <t>&gt;1)</t>
    </r>
  </si>
  <si>
    <r>
      <t>P(Sx</t>
    </r>
    <r>
      <rPr>
        <vertAlign val="superscript"/>
        <sz val="12"/>
        <color theme="1"/>
        <rFont val="Times New Roman"/>
        <family val="1"/>
        <charset val="162"/>
      </rPr>
      <t>2</t>
    </r>
    <r>
      <rPr>
        <sz val="12"/>
        <color theme="1"/>
        <rFont val="Times New Roman"/>
        <family val="1"/>
        <charset val="162"/>
      </rPr>
      <t>&gt;3000)</t>
    </r>
  </si>
  <si>
    <r>
      <t>P(Sx</t>
    </r>
    <r>
      <rPr>
        <vertAlign val="superscript"/>
        <sz val="12"/>
        <color theme="1"/>
        <rFont val="Times New Roman"/>
        <family val="1"/>
        <charset val="162"/>
      </rPr>
      <t>2</t>
    </r>
    <r>
      <rPr>
        <sz val="12"/>
        <color theme="1"/>
        <rFont val="Times New Roman"/>
        <family val="1"/>
        <charset val="162"/>
      </rPr>
      <t>&lt;1500)</t>
    </r>
  </si>
  <si>
    <r>
      <t>P(Sx</t>
    </r>
    <r>
      <rPr>
        <vertAlign val="superscript"/>
        <sz val="12"/>
        <color theme="1"/>
        <rFont val="Times New Roman"/>
        <family val="1"/>
        <charset val="162"/>
      </rPr>
      <t>2</t>
    </r>
    <r>
      <rPr>
        <sz val="12"/>
        <color theme="1"/>
        <rFont val="Times New Roman"/>
        <family val="1"/>
        <charset val="162"/>
      </rPr>
      <t>&lt;100)</t>
    </r>
  </si>
  <si>
    <r>
      <t>P(Sx</t>
    </r>
    <r>
      <rPr>
        <vertAlign val="superscript"/>
        <sz val="12"/>
        <color theme="1"/>
        <rFont val="Times New Roman"/>
        <family val="1"/>
        <charset val="162"/>
      </rPr>
      <t>2</t>
    </r>
    <r>
      <rPr>
        <sz val="12"/>
        <color theme="1"/>
        <rFont val="Times New Roman"/>
        <family val="1"/>
        <charset val="162"/>
      </rPr>
      <t>&gt;500)</t>
    </r>
  </si>
  <si>
    <r>
      <t>P(Sx</t>
    </r>
    <r>
      <rPr>
        <vertAlign val="superscript"/>
        <sz val="12"/>
        <color theme="1"/>
        <rFont val="Times New Roman"/>
        <family val="1"/>
        <charset val="162"/>
      </rPr>
      <t>2</t>
    </r>
    <r>
      <rPr>
        <sz val="12"/>
        <color theme="1"/>
        <rFont val="Times New Roman"/>
        <family val="1"/>
        <charset val="162"/>
      </rPr>
      <t>&gt;12,25)</t>
    </r>
  </si>
  <si>
    <r>
      <t>P(Sx</t>
    </r>
    <r>
      <rPr>
        <vertAlign val="superscript"/>
        <sz val="12"/>
        <color theme="1"/>
        <rFont val="Times New Roman"/>
        <family val="1"/>
        <charset val="162"/>
      </rPr>
      <t>2</t>
    </r>
    <r>
      <rPr>
        <sz val="12"/>
        <color theme="1"/>
        <rFont val="Times New Roman"/>
        <family val="1"/>
        <charset val="162"/>
      </rPr>
      <t>&lt;6)</t>
    </r>
  </si>
  <si>
    <t>EVET</t>
  </si>
  <si>
    <r>
      <t>P(Sx</t>
    </r>
    <r>
      <rPr>
        <vertAlign val="superscript"/>
        <sz val="12"/>
        <color theme="1"/>
        <rFont val="Times New Roman"/>
        <family val="1"/>
        <charset val="162"/>
      </rPr>
      <t>2</t>
    </r>
    <r>
      <rPr>
        <sz val="12"/>
        <color theme="1"/>
        <rFont val="Times New Roman"/>
        <family val="1"/>
        <charset val="162"/>
      </rPr>
      <t>&lt;5625)</t>
    </r>
  </si>
  <si>
    <r>
      <t>P(Sx</t>
    </r>
    <r>
      <rPr>
        <vertAlign val="superscript"/>
        <sz val="12"/>
        <color theme="1"/>
        <rFont val="Times New Roman"/>
        <family val="1"/>
        <charset val="162"/>
      </rPr>
      <t>2</t>
    </r>
    <r>
      <rPr>
        <sz val="12"/>
        <color theme="1"/>
        <rFont val="Times New Roman"/>
        <family val="1"/>
        <charset val="162"/>
      </rPr>
      <t>&gt;22500)</t>
    </r>
  </si>
  <si>
    <t>ÖRNEKLEM VARYANSLARININ ORTALAMASI</t>
  </si>
  <si>
    <t xml:space="preserve">ANAKÜTLE </t>
  </si>
  <si>
    <t>ÖRNEKLEMLERİN VARYANSLARININ ORTALAMASI</t>
  </si>
  <si>
    <r>
      <t>E(Sx</t>
    </r>
    <r>
      <rPr>
        <vertAlign val="superscript"/>
        <sz val="12"/>
        <color theme="1"/>
        <rFont val="Times New Roman"/>
        <family val="1"/>
        <charset val="162"/>
      </rPr>
      <t>2</t>
    </r>
    <r>
      <rPr>
        <sz val="12"/>
        <color theme="1"/>
        <rFont val="Times New Roman"/>
        <family val="1"/>
        <charset val="162"/>
      </rPr>
      <t>) = N</t>
    </r>
    <r>
      <rPr>
        <sz val="12"/>
        <color theme="1"/>
        <rFont val="Symbol"/>
        <family val="1"/>
        <charset val="2"/>
      </rPr>
      <t>s</t>
    </r>
    <r>
      <rPr>
        <vertAlign val="subscript"/>
        <sz val="12"/>
        <color theme="1"/>
        <rFont val="Times New Roman"/>
        <family val="1"/>
        <charset val="162"/>
      </rPr>
      <t>x</t>
    </r>
    <r>
      <rPr>
        <vertAlign val="superscript"/>
        <sz val="12"/>
        <color theme="1"/>
        <rFont val="Times New Roman"/>
        <family val="1"/>
        <charset val="162"/>
      </rPr>
      <t>2</t>
    </r>
    <r>
      <rPr>
        <sz val="12"/>
        <color theme="1"/>
        <rFont val="Times New Roman"/>
        <family val="1"/>
        <charset val="162"/>
      </rPr>
      <t xml:space="preserve">/(N-1) = </t>
    </r>
  </si>
  <si>
    <t>(ÖRNEKLEMİN BEKLENEN VARYANSI ANAKÜTLE VARYANSINDAN (3,9166) FARKLIDIR.</t>
  </si>
  <si>
    <r>
      <t>(n-1)*Sx</t>
    </r>
    <r>
      <rPr>
        <vertAlign val="superscript"/>
        <sz val="12"/>
        <color theme="1"/>
        <rFont val="Times New Roman"/>
        <family val="1"/>
        <charset val="162"/>
      </rPr>
      <t>2</t>
    </r>
    <r>
      <rPr>
        <sz val="12"/>
        <color theme="1"/>
        <rFont val="Times New Roman"/>
        <family val="1"/>
        <charset val="162"/>
      </rPr>
      <t>/</t>
    </r>
    <r>
      <rPr>
        <sz val="12"/>
        <color theme="1"/>
        <rFont val="Symbol"/>
        <family val="1"/>
        <charset val="2"/>
      </rPr>
      <t>s</t>
    </r>
    <r>
      <rPr>
        <vertAlign val="subscript"/>
        <sz val="12"/>
        <color theme="1"/>
        <rFont val="Times New Roman"/>
        <family val="1"/>
        <charset val="162"/>
      </rPr>
      <t>x</t>
    </r>
    <r>
      <rPr>
        <vertAlign val="superscript"/>
        <sz val="12"/>
        <color theme="1"/>
        <rFont val="Times New Roman"/>
        <family val="1"/>
        <charset val="162"/>
      </rPr>
      <t>2</t>
    </r>
  </si>
  <si>
    <r>
      <t>5*Sx</t>
    </r>
    <r>
      <rPr>
        <vertAlign val="superscript"/>
        <sz val="12"/>
        <color theme="1"/>
        <rFont val="Times New Roman"/>
        <family val="1"/>
        <charset val="162"/>
      </rPr>
      <t>2</t>
    </r>
    <r>
      <rPr>
        <sz val="12"/>
        <color theme="1"/>
        <rFont val="Times New Roman"/>
        <family val="1"/>
        <charset val="162"/>
      </rPr>
      <t>/</t>
    </r>
    <r>
      <rPr>
        <sz val="12"/>
        <color theme="1"/>
        <rFont val="Symbol"/>
        <family val="1"/>
        <charset val="2"/>
      </rPr>
      <t>s</t>
    </r>
    <r>
      <rPr>
        <vertAlign val="subscript"/>
        <sz val="12"/>
        <color theme="1"/>
        <rFont val="Times New Roman"/>
        <family val="1"/>
        <charset val="162"/>
      </rPr>
      <t>x</t>
    </r>
    <r>
      <rPr>
        <vertAlign val="superscript"/>
        <sz val="12"/>
        <color theme="1"/>
        <rFont val="Times New Roman"/>
        <family val="1"/>
        <charset val="162"/>
      </rPr>
      <t>2</t>
    </r>
  </si>
  <si>
    <r>
      <t>Sx</t>
    </r>
    <r>
      <rPr>
        <vertAlign val="superscript"/>
        <sz val="12"/>
        <color theme="1"/>
        <rFont val="Times New Roman"/>
        <family val="1"/>
        <charset val="162"/>
      </rPr>
      <t>2</t>
    </r>
    <r>
      <rPr>
        <sz val="12"/>
        <color theme="1"/>
        <rFont val="Times New Roman"/>
        <family val="1"/>
        <charset val="162"/>
      </rPr>
      <t>/</t>
    </r>
    <r>
      <rPr>
        <sz val="12"/>
        <color theme="1"/>
        <rFont val="Symbol"/>
        <family val="1"/>
        <charset val="2"/>
      </rPr>
      <t>s</t>
    </r>
    <r>
      <rPr>
        <vertAlign val="subscript"/>
        <sz val="12"/>
        <color theme="1"/>
        <rFont val="Times New Roman"/>
        <family val="1"/>
        <charset val="162"/>
      </rPr>
      <t>x</t>
    </r>
    <r>
      <rPr>
        <vertAlign val="superscript"/>
        <sz val="12"/>
        <color theme="1"/>
        <rFont val="Times New Roman"/>
        <family val="1"/>
        <charset val="162"/>
      </rPr>
      <t>2</t>
    </r>
  </si>
  <si>
    <t>KATIŞIKLIK ORANI</t>
  </si>
  <si>
    <r>
      <t>(Xi-</t>
    </r>
    <r>
      <rPr>
        <sz val="11"/>
        <color theme="1"/>
        <rFont val="Arial Tur"/>
        <charset val="162"/>
      </rPr>
      <t>µ</t>
    </r>
    <r>
      <rPr>
        <sz val="11"/>
        <color theme="1"/>
        <rFont val="Times New Roman"/>
        <family val="1"/>
        <charset val="162"/>
      </rPr>
      <t>x)^2</t>
    </r>
  </si>
  <si>
    <t>3,75 TEN YÜKSEK OLANLARIN ÖRNEKLEM ORANI</t>
  </si>
  <si>
    <t>SATIŞ FİYATLARI</t>
  </si>
  <si>
    <t>SAPMASIZ TAHMİN EDİCİLER</t>
  </si>
  <si>
    <t>92 DEN YÜKSEK EVLERİN ORANI</t>
  </si>
  <si>
    <t>3 TEN BÜYÜK DEĞERLERİN ÖRNEKLEM ORANI</t>
  </si>
  <si>
    <t>SAPMASIZLAR</t>
  </si>
  <si>
    <t>TAHMİN EDİCİLER</t>
  </si>
  <si>
    <t xml:space="preserve">6,1 ÖRNEĞİNDE </t>
  </si>
  <si>
    <t>GÖZLEMLER</t>
  </si>
  <si>
    <t>1. ÖRNEKLEM</t>
  </si>
  <si>
    <t>2. ÖRNEKLEM</t>
  </si>
  <si>
    <t xml:space="preserve">   </t>
  </si>
  <si>
    <t>GÖRÜLDÜĞÜ GİBİ DEĞERLER ANAKÜTLE ORTALAMASINA ÇOK YAKINDIR.</t>
  </si>
  <si>
    <t>1. Sİ</t>
  </si>
  <si>
    <t>ELM PARK</t>
  </si>
  <si>
    <t>CHERY HILLS</t>
  </si>
  <si>
    <t>MEMNUNİYET</t>
  </si>
  <si>
    <t>ERKEK</t>
  </si>
  <si>
    <t>KIZ</t>
  </si>
  <si>
    <t>ANAKÜTLE MEMNUNİYET</t>
  </si>
  <si>
    <t>TOPLAM NÜFUS</t>
  </si>
  <si>
    <t>MEMNUNİYET YÜZDESİ</t>
  </si>
  <si>
    <t>EML. VER. İST.</t>
  </si>
  <si>
    <t>KAMU KÜT ART.</t>
  </si>
  <si>
    <t>FARK</t>
  </si>
  <si>
    <t>POZİTİF</t>
  </si>
  <si>
    <t>P1-P2</t>
  </si>
  <si>
    <t>1 CİDDİ HATA</t>
  </si>
  <si>
    <t>1 HAFİF HATA</t>
  </si>
  <si>
    <t>1 CİDDİ 1 HAFİF HATA</t>
  </si>
  <si>
    <t>HATASIZ</t>
  </si>
  <si>
    <t>p*q/(n-1)</t>
  </si>
  <si>
    <t>(Xi-   )^2</t>
  </si>
  <si>
    <t>ÖNEMLİ !</t>
  </si>
  <si>
    <r>
      <t xml:space="preserve">  -  </t>
    </r>
    <r>
      <rPr>
        <sz val="11"/>
        <color theme="1"/>
        <rFont val="Arial Tur"/>
        <charset val="162"/>
      </rPr>
      <t>µ</t>
    </r>
  </si>
  <si>
    <r>
      <t>(n-1)/n*</t>
    </r>
    <r>
      <rPr>
        <sz val="11"/>
        <color theme="1"/>
        <rFont val="Symbol"/>
        <family val="1"/>
        <charset val="2"/>
      </rPr>
      <t>s</t>
    </r>
    <r>
      <rPr>
        <sz val="11"/>
        <color theme="1"/>
        <rFont val="Times New Roman"/>
        <family val="1"/>
        <charset val="162"/>
      </rPr>
      <t>x2</t>
    </r>
  </si>
  <si>
    <r>
      <t>Sx</t>
    </r>
    <r>
      <rPr>
        <vertAlign val="superscript"/>
        <sz val="11"/>
        <color theme="1"/>
        <rFont val="Times New Roman"/>
        <family val="1"/>
        <charset val="162"/>
      </rPr>
      <t>2</t>
    </r>
    <r>
      <rPr>
        <sz val="11"/>
        <color theme="1"/>
        <rFont val="Times New Roman"/>
        <family val="1"/>
        <charset val="162"/>
      </rPr>
      <t>=</t>
    </r>
  </si>
  <si>
    <t>GÖRÜLDÜĞÜ GİBİ</t>
  </si>
  <si>
    <r>
      <rPr>
        <sz val="11"/>
        <color theme="1"/>
        <rFont val="Symbol"/>
        <family val="1"/>
        <charset val="2"/>
      </rPr>
      <t>s</t>
    </r>
    <r>
      <rPr>
        <sz val="11"/>
        <color theme="1"/>
        <rFont val="Times New Roman"/>
        <family val="1"/>
        <charset val="162"/>
      </rPr>
      <t>x2</t>
    </r>
  </si>
  <si>
    <t xml:space="preserve">DEĞİLDİR. </t>
  </si>
  <si>
    <t>İŞLETMECİLİK</t>
  </si>
  <si>
    <t>TOPLUMSAL BİLİM</t>
  </si>
  <si>
    <t>TOPL.</t>
  </si>
  <si>
    <t>İŞL.</t>
  </si>
  <si>
    <t>t</t>
  </si>
  <si>
    <t>n</t>
  </si>
  <si>
    <t>xort</t>
  </si>
  <si>
    <t>Sx</t>
  </si>
  <si>
    <t>ALT SINIR</t>
  </si>
  <si>
    <t>ÜST SINIR</t>
  </si>
  <si>
    <t>GÜVEN ARALIĞI</t>
  </si>
  <si>
    <t>Xort</t>
  </si>
  <si>
    <t>DAHA DAR</t>
  </si>
  <si>
    <t>DAHA GENİŞ</t>
  </si>
  <si>
    <r>
      <rPr>
        <sz val="11"/>
        <color theme="1"/>
        <rFont val="Symbol"/>
        <family val="1"/>
        <charset val="2"/>
      </rPr>
      <t>s</t>
    </r>
    <r>
      <rPr>
        <sz val="11"/>
        <color theme="1"/>
        <rFont val="Times New Roman"/>
        <family val="1"/>
        <charset val="162"/>
      </rPr>
      <t>x</t>
    </r>
  </si>
  <si>
    <t>α</t>
  </si>
  <si>
    <t xml:space="preserve"> </t>
  </si>
  <si>
    <t>"(n-1)", SIFIR OLUR. DOLAYISIYL TANIMSIZ OLUR</t>
  </si>
  <si>
    <r>
      <t>Z</t>
    </r>
    <r>
      <rPr>
        <vertAlign val="subscript"/>
        <sz val="11"/>
        <color theme="1"/>
        <rFont val="Arial Tur"/>
        <charset val="162"/>
      </rPr>
      <t>α</t>
    </r>
    <r>
      <rPr>
        <vertAlign val="subscript"/>
        <sz val="9.35"/>
        <color theme="1"/>
        <rFont val="Times New Roman"/>
        <family val="1"/>
        <charset val="162"/>
      </rPr>
      <t>/2</t>
    </r>
  </si>
  <si>
    <t>&gt;P&gt;</t>
  </si>
  <si>
    <t>q</t>
  </si>
  <si>
    <t>ST SAPMA</t>
  </si>
  <si>
    <t>28. SORUYU ELE ALALIM</t>
  </si>
  <si>
    <t>ÖRN ST SAP</t>
  </si>
  <si>
    <t>GÖRÜLDÜĞÜ GİBİ 13, 10 VE 19 UN TAM ORTA NOKTASI DEĞİLDİR. BU KİKARE DEĞERLERİNİN DAĞILIMINDAN KAYNAKLANIR. KİKARE SAĞA ÇARPIKTIR SİMETRİK BİR GRAFİK DEĞİLDİR. BU ASLINDA KUADRATİK OLMASININ BİR SONUCUDUR (BKZ. KİKARE DAĞILIM GRAFİĞİ).</t>
  </si>
  <si>
    <t xml:space="preserve">ÇÜNKÜ AYNI ÖRNEKLEM BİLGİSİ, AYNI DEĞERLER, FARKLI KİKARE DEĞERLERİYLE HESAPLANACAKTIR. VERİLMİŞ BİR ÖRNEKLEM BİLGİSİ İSTENİLEN HAREHANGİ BİR OLASILIKLA ARALIK BİLGİSİ HESAPLANABİLİR. </t>
  </si>
  <si>
    <t>ALFA</t>
  </si>
  <si>
    <t xml:space="preserve">VARSAYIM: ANAKÜTLE NORMAL DAĞILMAKTADIR. </t>
  </si>
  <si>
    <t>DAHA GENİŞTİR</t>
  </si>
  <si>
    <t>+</t>
  </si>
  <si>
    <t xml:space="preserve"> = </t>
  </si>
  <si>
    <r>
      <t xml:space="preserve"> -                  &lt; µ</t>
    </r>
    <r>
      <rPr>
        <vertAlign val="subscript"/>
        <sz val="12"/>
        <color theme="1"/>
        <rFont val="Times New Roman"/>
        <family val="1"/>
        <charset val="162"/>
      </rPr>
      <t>x</t>
    </r>
    <r>
      <rPr>
        <sz val="12"/>
        <color theme="1"/>
        <rFont val="Times New Roman"/>
        <family val="1"/>
        <charset val="162"/>
      </rPr>
      <t>-µ</t>
    </r>
    <r>
      <rPr>
        <vertAlign val="subscript"/>
        <sz val="12"/>
        <color theme="1"/>
        <rFont val="Times New Roman"/>
        <family val="1"/>
        <charset val="162"/>
      </rPr>
      <t>y</t>
    </r>
    <r>
      <rPr>
        <sz val="12"/>
        <color theme="1"/>
        <rFont val="Times New Roman"/>
        <family val="1"/>
        <charset val="162"/>
      </rPr>
      <t xml:space="preserve"> &lt;  + </t>
    </r>
  </si>
  <si>
    <t>Sd</t>
  </si>
  <si>
    <t>di</t>
  </si>
  <si>
    <r>
      <t>t</t>
    </r>
    <r>
      <rPr>
        <vertAlign val="subscript"/>
        <sz val="11"/>
        <color theme="1"/>
        <rFont val="Times New Roman"/>
        <family val="1"/>
        <charset val="162"/>
      </rPr>
      <t>n-1,</t>
    </r>
    <r>
      <rPr>
        <vertAlign val="subscript"/>
        <sz val="11"/>
        <color theme="1"/>
        <rFont val="Arial Tur"/>
        <charset val="162"/>
      </rPr>
      <t>α</t>
    </r>
    <r>
      <rPr>
        <vertAlign val="subscript"/>
        <sz val="12.65"/>
        <color theme="1"/>
        <rFont val="Times New Roman"/>
        <family val="1"/>
        <charset val="162"/>
      </rPr>
      <t>/2</t>
    </r>
  </si>
  <si>
    <t xml:space="preserve">    Sd^2</t>
  </si>
  <si>
    <t>Di</t>
  </si>
  <si>
    <t>FARKLI DİYEN GÖRÜŞLER GÜÇLÜ DEĞİLDİR (SIFIRI İÇERİYOR)</t>
  </si>
  <si>
    <t>1. SINIF</t>
  </si>
  <si>
    <t>2. SINIF</t>
  </si>
  <si>
    <t xml:space="preserve">&lt; µx-µy &lt; </t>
  </si>
  <si>
    <t>-</t>
  </si>
  <si>
    <r>
      <t>Z</t>
    </r>
    <r>
      <rPr>
        <vertAlign val="subscript"/>
        <sz val="11"/>
        <color theme="1"/>
        <rFont val="Arial Tur"/>
        <charset val="162"/>
      </rPr>
      <t>α</t>
    </r>
    <r>
      <rPr>
        <vertAlign val="subscript"/>
        <sz val="12.65"/>
        <color theme="1"/>
        <rFont val="Times New Roman"/>
        <family val="1"/>
        <charset val="162"/>
      </rPr>
      <t>/2</t>
    </r>
  </si>
  <si>
    <t>KADIN</t>
  </si>
  <si>
    <t>DÜŞÜK</t>
  </si>
  <si>
    <t>DEĞERLEYEN</t>
  </si>
  <si>
    <t>DEĞERLEMEYEN</t>
  </si>
  <si>
    <t>İLAÇ VERİLEN</t>
  </si>
  <si>
    <t>İLAÇ VERİLMEYEN</t>
  </si>
  <si>
    <t>KURSA GİDEN</t>
  </si>
  <si>
    <t>KURSA GİTMEYEN</t>
  </si>
  <si>
    <t>1. HOCA</t>
  </si>
  <si>
    <t>2. HOCA</t>
  </si>
  <si>
    <r>
      <t xml:space="preserve"> &lt; µ</t>
    </r>
    <r>
      <rPr>
        <vertAlign val="subscript"/>
        <sz val="14"/>
        <color theme="1"/>
        <rFont val="Times New Roman"/>
        <family val="1"/>
        <charset val="162"/>
      </rPr>
      <t>x</t>
    </r>
    <r>
      <rPr>
        <sz val="14"/>
        <color theme="1"/>
        <rFont val="Times New Roman"/>
        <family val="1"/>
        <charset val="162"/>
      </rPr>
      <t>-µ</t>
    </r>
    <r>
      <rPr>
        <vertAlign val="subscript"/>
        <sz val="14"/>
        <color theme="1"/>
        <rFont val="Times New Roman"/>
        <family val="1"/>
        <charset val="162"/>
      </rPr>
      <t>y</t>
    </r>
    <r>
      <rPr>
        <sz val="14"/>
        <color theme="1"/>
        <rFont val="Times New Roman"/>
        <family val="1"/>
        <charset val="162"/>
      </rPr>
      <t xml:space="preserve"> &lt; </t>
    </r>
  </si>
  <si>
    <t>s</t>
  </si>
  <si>
    <r>
      <t xml:space="preserve"> &lt; µ</t>
    </r>
    <r>
      <rPr>
        <vertAlign val="subscript"/>
        <sz val="14"/>
        <color theme="1"/>
        <rFont val="Times New Roman"/>
        <family val="1"/>
        <charset val="162"/>
      </rPr>
      <t xml:space="preserve">x </t>
    </r>
    <r>
      <rPr>
        <sz val="14"/>
        <color theme="1"/>
        <rFont val="Times New Roman"/>
        <family val="1"/>
        <charset val="162"/>
      </rPr>
      <t>- µ</t>
    </r>
    <r>
      <rPr>
        <vertAlign val="subscript"/>
        <sz val="14"/>
        <color theme="1"/>
        <rFont val="Times New Roman"/>
        <family val="1"/>
        <charset val="162"/>
      </rPr>
      <t>y</t>
    </r>
    <r>
      <rPr>
        <sz val="14"/>
        <color theme="1"/>
        <rFont val="Times New Roman"/>
        <family val="1"/>
        <charset val="162"/>
      </rPr>
      <t xml:space="preserve"> &lt; </t>
    </r>
  </si>
  <si>
    <t xml:space="preserve">n = </t>
  </si>
  <si>
    <t>ÇÜNKÜ ANAKÜTLE ORTALAMALARI FARKI ANAKÜTLE İÇİN AYRICA HESAPLANIR</t>
  </si>
  <si>
    <t>GÜVEN DÜZEYİ</t>
  </si>
  <si>
    <t xml:space="preserve"> &lt;      &lt; </t>
  </si>
  <si>
    <t>24*0,2*0,2/x</t>
  </si>
  <si>
    <t>24*0,2*0,2/y</t>
  </si>
  <si>
    <t>x   =</t>
  </si>
  <si>
    <t>y   =</t>
  </si>
  <si>
    <t>ORT</t>
  </si>
  <si>
    <t>XORT</t>
  </si>
  <si>
    <t>Varyans</t>
  </si>
  <si>
    <t>ÖRNEKLEM BOYUTU ARTTIKÇA ARALIK KÜÇÜLÜR</t>
  </si>
  <si>
    <t>ÖRNEKLEMLERİN EŞLENİK VEYA BAĞIMSIZ SEÇİLMİŞ OLMASINA GÖRE FARKLI YÖNTEMLER UYGULANIR. MESELA ÇİFT ÖZELLİĞİ GÖSTEREN ANAKÜTLELERDE EŞLENİK, FARKLI BOYUTLARDAKİ ANAKÜTLE VE ÖRNEKLEMLER İÇİN BAĞIMSIZ KULLANILIR.</t>
  </si>
  <si>
    <t>ÖNCE</t>
  </si>
  <si>
    <t>SONRA</t>
  </si>
  <si>
    <t>FARKLARIN KARELERİ TOPLAMI</t>
  </si>
  <si>
    <t xml:space="preserve">  </t>
  </si>
  <si>
    <t>JOHN DOE</t>
  </si>
  <si>
    <t>JEAN RAY</t>
  </si>
  <si>
    <r>
      <t xml:space="preserve">  </t>
    </r>
    <r>
      <rPr>
        <vertAlign val="subscript"/>
        <sz val="12"/>
        <color theme="1"/>
        <rFont val="Times New Roman"/>
        <family val="1"/>
        <charset val="162"/>
      </rPr>
      <t xml:space="preserve">  </t>
    </r>
  </si>
  <si>
    <t>MÜŞTERİ HESAPLARI</t>
  </si>
  <si>
    <t>73. SORU</t>
  </si>
  <si>
    <t xml:space="preserve">ÜYE </t>
  </si>
  <si>
    <t>ÜYE DEĞİL</t>
  </si>
  <si>
    <t xml:space="preserve">       =</t>
  </si>
  <si>
    <t>1-p</t>
  </si>
  <si>
    <t>SANAYİ KURULUŞU</t>
  </si>
  <si>
    <t>TÜKETİM MALLARI</t>
  </si>
  <si>
    <t>74. SORU</t>
  </si>
  <si>
    <t>75. SORU</t>
  </si>
  <si>
    <t>76. SORU</t>
  </si>
  <si>
    <t>σ</t>
  </si>
  <si>
    <t>µ</t>
  </si>
  <si>
    <t>Ho %10 DÜZEYİNDE REDDEDİLİR</t>
  </si>
  <si>
    <t>Ho %10 DÜZEYİNDE REDDEDİLEMEZ</t>
  </si>
  <si>
    <t>ϻ</t>
  </si>
  <si>
    <t>&lt;</t>
  </si>
  <si>
    <t>Ho %5 DÜZEYİNDE REDDEDİLİR</t>
  </si>
  <si>
    <t>AYNI</t>
  </si>
  <si>
    <t>ÇÜNKÜ %3 GEÇMESİNDEN KORKULMAKTADIR.</t>
  </si>
  <si>
    <t>p     =</t>
  </si>
  <si>
    <t>Ho %5 DÜZEYİNDE REDDEDİLEMEZ, p = -3,333333</t>
  </si>
  <si>
    <t>&gt;</t>
  </si>
  <si>
    <t>Ho % 0,08 DÜZEYİNDE REDDEDİLEMEZ DAHA ALTINDA REDDEDİLİR</t>
  </si>
  <si>
    <t>GÜNLÜK ÜRETİM</t>
  </si>
  <si>
    <r>
      <t>s</t>
    </r>
    <r>
      <rPr>
        <vertAlign val="superscript"/>
        <sz val="11"/>
        <color theme="1"/>
        <rFont val="Times New Roman"/>
        <family val="1"/>
        <charset val="162"/>
      </rPr>
      <t>2</t>
    </r>
  </si>
  <si>
    <t>Ho % 10 DÜZEYİNDE REDDEDİLEMEZ</t>
  </si>
  <si>
    <t>Ho % 10 DÜZEYİNDE REDDEDİLİR</t>
  </si>
  <si>
    <t>Ho % 20 DÜZEYİNDE REDDEDİLEMEZ, DAHA ALTINDA REDDEDİLİR</t>
  </si>
  <si>
    <t>P</t>
  </si>
  <si>
    <t>Ho % 5 DÜZEYİNDE REDDEDİLİR</t>
  </si>
  <si>
    <t xml:space="preserve">Ho % 10 DÜZEYİNE KADAR KABUL EDİLİR </t>
  </si>
  <si>
    <t>Ho % 39,6 DÜZEYİNE KADAR KABUL EDİLİR AKSİ TAKDİRDE REDDEDİLİR.</t>
  </si>
  <si>
    <t>Ho % 5 DÜZEYİNE KADAR KABUL EDİLİR AKSİ TAKDİRDE REDDEDİLİR.</t>
  </si>
  <si>
    <t>Ho % 10 DÜZEYİNE KADAR KABUL EDİLİR AKSİ TAKDİRDE REDDEDİLİR</t>
  </si>
  <si>
    <r>
      <t>Z</t>
    </r>
    <r>
      <rPr>
        <vertAlign val="subscript"/>
        <sz val="11"/>
        <color theme="1"/>
        <rFont val="Times New Roman"/>
        <family val="1"/>
        <charset val="162"/>
      </rPr>
      <t>α</t>
    </r>
    <r>
      <rPr>
        <vertAlign val="subscript"/>
        <sz val="12.65"/>
        <color theme="1"/>
        <rFont val="Times New Roman"/>
        <family val="1"/>
        <charset val="162"/>
      </rPr>
      <t>/2</t>
    </r>
  </si>
  <si>
    <r>
      <t>Z</t>
    </r>
    <r>
      <rPr>
        <vertAlign val="subscript"/>
        <sz val="11"/>
        <color theme="1"/>
        <rFont val="Times New Roman"/>
        <family val="1"/>
        <charset val="162"/>
      </rPr>
      <t>α</t>
    </r>
  </si>
  <si>
    <r>
      <t>D</t>
    </r>
    <r>
      <rPr>
        <vertAlign val="subscript"/>
        <sz val="11"/>
        <color theme="1"/>
        <rFont val="Times New Roman"/>
        <family val="1"/>
        <charset val="162"/>
      </rPr>
      <t>0</t>
    </r>
  </si>
  <si>
    <t>dort</t>
  </si>
  <si>
    <t>Do</t>
  </si>
  <si>
    <t>Ho % 8,6 DÜZEYİNE KADAR KABUL EDİLİR AKSİ TAKDİRDE REDDEDİLİR.</t>
  </si>
  <si>
    <t>Ho % 8,9 DÜZEYİNE KADAR KABUL EDİLİR AKSİ TAKDİRDE REDDEDİLİR.</t>
  </si>
  <si>
    <t>ORTALAMALARIN FARKI</t>
  </si>
  <si>
    <t>JAPON GİRİŞİMCİLER</t>
  </si>
  <si>
    <t>JAPON ŞİRKETLER</t>
  </si>
  <si>
    <t>Ho HEMEN HER DÜZEYDE REDDEDİLİR.</t>
  </si>
  <si>
    <t>OY KULLANAN</t>
  </si>
  <si>
    <t>OY KULLANMAYAN</t>
  </si>
  <si>
    <r>
      <t>Z</t>
    </r>
    <r>
      <rPr>
        <vertAlign val="subscript"/>
        <sz val="11"/>
        <color theme="1"/>
        <rFont val="Times New Roman"/>
        <family val="1"/>
        <charset val="162"/>
      </rPr>
      <t>α/2</t>
    </r>
  </si>
  <si>
    <t>Ho % 30 DÜZEYİNE KADAR KABUL EDİLİR AKSİ TAKDİRDE REDDEDİLİR.</t>
  </si>
  <si>
    <t>Ho % 6 DÜZEYİNE KADAR KABUL EDİLİR AKSİ TAKDİRDE REDDEDİLİR.</t>
  </si>
  <si>
    <t xml:space="preserve">             =</t>
  </si>
  <si>
    <t>PAHALI TASARIM</t>
  </si>
  <si>
    <t>UCUZ TASARIM</t>
  </si>
  <si>
    <t>Ho % 20 DÜZEYİNE KADAR KABUL EDİLİR AKSİ TAKDİRDE REDDEDİLİR.</t>
  </si>
  <si>
    <t>Po</t>
  </si>
  <si>
    <t>Ho % 5 DÜZEYİNDE KADAR KABUL EDİLİR.</t>
  </si>
  <si>
    <t>Ho HEMEN HER ALFADÜZEYİNDE KADAR KABUL EDİLİR.</t>
  </si>
  <si>
    <t>Ho HEMEN HER ALFADÜZEYİNDE REDDEDİLİR.</t>
  </si>
  <si>
    <t xml:space="preserve">ÖRNEKLEMDE İKİ YADA DAHA AZ NEGATİF VARSA Ho I REDDET KARAR KURALIINI BENİMSERSEK %3,27 ANLAMLILIK DÜZEYİNDE Ho REDDEDİLİR. </t>
  </si>
  <si>
    <t xml:space="preserve">ÖRNEKLEMDE İKİ YADA DAHA AZ NEGATİF VARSA Ho'I REDDET KARAR KURALIINI BENİMSERSEK %8,98 ANLAMLILIK DÜZEYİNDE Ho REDDEDİLİR. </t>
  </si>
  <si>
    <r>
      <t>Z</t>
    </r>
    <r>
      <rPr>
        <vertAlign val="subscript"/>
        <sz val="11"/>
        <color theme="1"/>
        <rFont val="Arial Tur"/>
        <charset val="162"/>
      </rPr>
      <t>α</t>
    </r>
    <r>
      <rPr>
        <vertAlign val="subscript"/>
        <sz val="11"/>
        <color theme="1"/>
        <rFont val="Times New Roman"/>
        <family val="1"/>
        <charset val="162"/>
      </rPr>
      <t>/2</t>
    </r>
  </si>
  <si>
    <t>Ho % 34 DÜZEYİNDE KABUL EDİLİR AKSİ TAKDİRDE REDDEDİLİR</t>
  </si>
  <si>
    <t>FDG</t>
  </si>
  <si>
    <t xml:space="preserve">YERLİ </t>
  </si>
  <si>
    <t>İTHAL</t>
  </si>
  <si>
    <t>J</t>
  </si>
  <si>
    <t>SIRALAMA (+)</t>
  </si>
  <si>
    <t>SIRALAMA (-)</t>
  </si>
  <si>
    <r>
      <t>H</t>
    </r>
    <r>
      <rPr>
        <vertAlign val="subscript"/>
        <sz val="11"/>
        <color theme="1"/>
        <rFont val="Times New Roman"/>
        <family val="1"/>
        <charset val="162"/>
      </rPr>
      <t>0</t>
    </r>
    <r>
      <rPr>
        <sz val="11"/>
        <color theme="1"/>
        <rFont val="Times New Roman"/>
        <family val="1"/>
        <charset val="162"/>
      </rPr>
      <t xml:space="preserve"> EN SON % 1,83 HATA DÜZEYİNDE KABUL EDİLEBİLİR DAHA YÜKSEK HATA DÜZEYİNDE REDDEDİLİR.</t>
    </r>
  </si>
  <si>
    <t>T</t>
  </si>
  <si>
    <r>
      <t>H</t>
    </r>
    <r>
      <rPr>
        <vertAlign val="subscript"/>
        <sz val="11"/>
        <color theme="1"/>
        <rFont val="Times New Roman"/>
        <family val="1"/>
        <charset val="162"/>
      </rPr>
      <t>0</t>
    </r>
    <r>
      <rPr>
        <sz val="11"/>
        <color theme="1"/>
        <rFont val="Times New Roman"/>
        <family val="1"/>
        <charset val="162"/>
      </rPr>
      <t xml:space="preserve"> EN SON % 4,14 HATA DÜZEYİNDE KABUL EDİLEBİLİR DAHA YÜKSEK HATA DÜZEYİNDE REDDEDİLİR.</t>
    </r>
  </si>
  <si>
    <t>ERKEKLER</t>
  </si>
  <si>
    <t>KIZLAR</t>
  </si>
  <si>
    <t>SIRALANMIŞ</t>
  </si>
  <si>
    <r>
      <t>H</t>
    </r>
    <r>
      <rPr>
        <vertAlign val="subscript"/>
        <sz val="11"/>
        <color theme="1"/>
        <rFont val="Times New Roman"/>
        <family val="1"/>
        <charset val="162"/>
      </rPr>
      <t>0</t>
    </r>
    <r>
      <rPr>
        <sz val="11"/>
        <color theme="1"/>
        <rFont val="Times New Roman"/>
        <family val="1"/>
        <charset val="162"/>
      </rPr>
      <t xml:space="preserve"> % 56,86  HATA DÜZEYİNDE KABUL EDİLİR BUNUN ÜZERİNDE REDDEDİLİR.</t>
    </r>
  </si>
  <si>
    <r>
      <t>H</t>
    </r>
    <r>
      <rPr>
        <vertAlign val="subscript"/>
        <sz val="11"/>
        <color theme="1"/>
        <rFont val="Times New Roman"/>
        <family val="1"/>
        <charset val="162"/>
      </rPr>
      <t>0</t>
    </r>
    <r>
      <rPr>
        <sz val="11"/>
        <color theme="1"/>
        <rFont val="Times New Roman"/>
        <family val="1"/>
        <charset val="162"/>
      </rPr>
      <t xml:space="preserve"> % 64,9  HATA DÜZEYİNDE KABUL EDİLİR BUNUN ÜZERİNDE REDDEDİLİR.</t>
    </r>
  </si>
  <si>
    <t>SINAV</t>
  </si>
  <si>
    <t>ÖDEV</t>
  </si>
  <si>
    <t>2. çözüm</t>
  </si>
  <si>
    <t>r</t>
  </si>
  <si>
    <t xml:space="preserve">    r     =     </t>
  </si>
  <si>
    <r>
      <t>t</t>
    </r>
    <r>
      <rPr>
        <vertAlign val="subscript"/>
        <sz val="12"/>
        <color theme="1"/>
        <rFont val="Times New Roman"/>
        <family val="1"/>
        <charset val="162"/>
      </rPr>
      <t>11,0.05</t>
    </r>
  </si>
  <si>
    <r>
      <t>H</t>
    </r>
    <r>
      <rPr>
        <vertAlign val="subscript"/>
        <sz val="12"/>
        <color theme="1"/>
        <rFont val="Times New Roman"/>
        <family val="1"/>
        <charset val="162"/>
      </rPr>
      <t>0</t>
    </r>
    <r>
      <rPr>
        <sz val="12"/>
        <color theme="1"/>
        <rFont val="Times New Roman"/>
        <family val="1"/>
        <charset val="162"/>
      </rPr>
      <t xml:space="preserve"> % 10 ANLAMLILIK DÜZEYİNDE REDDEDİLEMEZ. YANİ X VE Y DEĞİŞKENLERİ %40 ORANINDA ZIT YÖNLÜ BAĞIMLIDIRLAR.</t>
    </r>
  </si>
  <si>
    <r>
      <t>H</t>
    </r>
    <r>
      <rPr>
        <vertAlign val="subscript"/>
        <sz val="12"/>
        <color theme="1"/>
        <rFont val="Times New Roman"/>
        <family val="1"/>
        <charset val="162"/>
      </rPr>
      <t>0</t>
    </r>
    <r>
      <rPr>
        <sz val="12"/>
        <color theme="1"/>
        <rFont val="Times New Roman"/>
        <family val="1"/>
        <charset val="162"/>
      </rPr>
      <t xml:space="preserve"> % 10 ANLAMLILIK DÜZEYİNDE REDDEDİLEMEZ. YANİ X VE Y DEĞİŞKENLERİ % 16 ORANINDA AYNI YÖNLÜ BAĞIMLIDIRLAR.</t>
    </r>
  </si>
  <si>
    <r>
      <t>t</t>
    </r>
    <r>
      <rPr>
        <vertAlign val="subscript"/>
        <sz val="12"/>
        <color theme="1"/>
        <rFont val="Times New Roman"/>
        <family val="1"/>
        <charset val="162"/>
      </rPr>
      <t>15,0.05</t>
    </r>
  </si>
  <si>
    <t>di^2</t>
  </si>
  <si>
    <r>
      <t>H</t>
    </r>
    <r>
      <rPr>
        <vertAlign val="subscript"/>
        <sz val="12"/>
        <color theme="1"/>
        <rFont val="Times New Roman"/>
        <family val="1"/>
        <charset val="162"/>
      </rPr>
      <t>0</t>
    </r>
    <r>
      <rPr>
        <sz val="12"/>
        <color theme="1"/>
        <rFont val="Times New Roman"/>
        <family val="1"/>
        <charset val="162"/>
      </rPr>
      <t xml:space="preserve"> % 2,5 ANLAMLILIK DÜZEYİNDE REDDEDİLEMEZ. YANİ X VE Y DEĞİŞKENLERİ % 11 ORANINDA AYNI YÖNLÜ BAĞIMLIDIRLAR.</t>
    </r>
  </si>
  <si>
    <r>
      <t>H</t>
    </r>
    <r>
      <rPr>
        <vertAlign val="subscript"/>
        <sz val="12"/>
        <color theme="1"/>
        <rFont val="Times New Roman"/>
        <family val="1"/>
        <charset val="162"/>
      </rPr>
      <t>0</t>
    </r>
    <r>
      <rPr>
        <sz val="12"/>
        <color theme="1"/>
        <rFont val="Times New Roman"/>
        <family val="1"/>
        <charset val="162"/>
      </rPr>
      <t xml:space="preserve"> % 60 ANLAMLILIK DÜZEYİNDE REDDEDİLEMEZ. BUNUN ÜSTÜNDEKİ DEĞERLERDE REDDEDİLEBİLİR.</t>
    </r>
  </si>
  <si>
    <t>BİLİNEN DÜZEYLERDE Ho REDDEDİLEMEZ</t>
  </si>
  <si>
    <t>%50 DÜZEYİNDE REDDEDİLİR.</t>
  </si>
  <si>
    <t>KIRMIZI</t>
  </si>
  <si>
    <t>SARI</t>
  </si>
  <si>
    <t>MAVİ</t>
  </si>
  <si>
    <t>SATIR ORTALAMALARI</t>
  </si>
  <si>
    <t>SÜTUN ORTALAMALARI</t>
  </si>
  <si>
    <t>ÖAKO</t>
  </si>
  <si>
    <t>SMILEY</t>
  </si>
  <si>
    <t>HAYDON</t>
  </si>
  <si>
    <t>ALLELINE</t>
  </si>
  <si>
    <t>BLAND</t>
  </si>
  <si>
    <r>
      <t>F</t>
    </r>
    <r>
      <rPr>
        <vertAlign val="subscript"/>
        <sz val="12"/>
        <color theme="1"/>
        <rFont val="Times New Roman"/>
        <family val="1"/>
        <charset val="162"/>
      </rPr>
      <t>2,13,0,05</t>
    </r>
  </si>
  <si>
    <t>&lt; ÖAKO</t>
  </si>
  <si>
    <r>
      <t>F</t>
    </r>
    <r>
      <rPr>
        <vertAlign val="subscript"/>
        <sz val="12"/>
        <color theme="1"/>
        <rFont val="Times New Roman"/>
        <family val="1"/>
        <charset val="162"/>
      </rPr>
      <t>3,19,0,05</t>
    </r>
  </si>
  <si>
    <t xml:space="preserve">Ho % 5 HATA DÜZEYİNDE REDDEDİLİR. ANAKÜTLEORTALAMALARI FARKLIDIR. RENKLER SATIŞLAR ÜZERİNDE ETKİLİDİR. </t>
  </si>
  <si>
    <t xml:space="preserve">Ho  % 5  HATA DÜZEYİNDE REDDEDİLİR. ANAKÜTLEORTALAMALARI FARKLIDIR. </t>
  </si>
  <si>
    <t>YERLİ</t>
  </si>
  <si>
    <t>JAPON</t>
  </si>
  <si>
    <t>AVRUPA</t>
  </si>
  <si>
    <r>
      <t>F</t>
    </r>
    <r>
      <rPr>
        <vertAlign val="subscript"/>
        <sz val="12"/>
        <color theme="1"/>
        <rFont val="Times New Roman"/>
        <family val="1"/>
        <charset val="162"/>
      </rPr>
      <t>2,12,0,05</t>
    </r>
  </si>
  <si>
    <t xml:space="preserve">Ho % 5 HATA DÜZEYİNDE REDDEDİLİR. ANAKÜTLEORTALAMALARI FARKLIDIR. OTOMOBİLLERİN MALİYETLERİ FARKLIDIR. </t>
  </si>
  <si>
    <t>KAYNAK</t>
  </si>
  <si>
    <t>KT</t>
  </si>
  <si>
    <t>SD</t>
  </si>
  <si>
    <t>OK</t>
  </si>
  <si>
    <t>F ORANI</t>
  </si>
  <si>
    <t>ÖBEKLER ARASI</t>
  </si>
  <si>
    <t>ÖBEKLER İÇİ</t>
  </si>
  <si>
    <t>SINIF ORTALAMALARI</t>
  </si>
  <si>
    <t>SINIFLAR ÜZERİNDEN ORTALAMA HESABI</t>
  </si>
  <si>
    <t>SINIFLAR ÜZERİNDEN STANDART SAPMA HESABI</t>
  </si>
  <si>
    <t>ORT.</t>
  </si>
  <si>
    <t>ST SPMA</t>
  </si>
  <si>
    <t>ORTNCA</t>
  </si>
  <si>
    <t>DRDEBA</t>
  </si>
  <si>
    <t>iv</t>
  </si>
  <si>
    <r>
      <t xml:space="preserve">Y=12,94197828-2,0341x + </t>
    </r>
    <r>
      <rPr>
        <sz val="12"/>
        <color theme="1"/>
        <rFont val="Arial Tur"/>
        <charset val="162"/>
      </rPr>
      <t>εi</t>
    </r>
  </si>
  <si>
    <t>BAPIMSIZ DEĞİŞKEN (x), YILIN İLK BEŞGÜNÜNDEKİ DEĞİŞİM YÜZDESİ SIFIR (OLURSA) HATALAR HARİÇ Y YAKLAŞIK 13 OLUR. X'DEKİ BİR BİRİMLİK ARTIŞ Y'Yİ 2,0341 AZALTIR</t>
  </si>
  <si>
    <r>
      <t xml:space="preserve">Y=0,044851904-0,2243x + </t>
    </r>
    <r>
      <rPr>
        <sz val="12"/>
        <color theme="1"/>
        <rFont val="Arial Tur"/>
        <charset val="162"/>
      </rPr>
      <t>εi</t>
    </r>
  </si>
  <si>
    <t>BAĞIMSIZ DEĞİŞKEN (x), YILIN İLK BEŞGÜNÜNDEKİ DEĞİŞİM YÜZDESİ SIFIR (OLURSA) HATALAR HARİÇ Y YAKLAŞIK 0,044 OLUR. X'DEKİ BİR BİRİMLİK ARTIŞ Y'Yİ -0,2243 BİRİM AZALTIR</t>
  </si>
  <si>
    <r>
      <t xml:space="preserve">Y=-11,5045872-0,40183x + </t>
    </r>
    <r>
      <rPr>
        <sz val="12"/>
        <color theme="1"/>
        <rFont val="Arial Tur"/>
        <charset val="162"/>
      </rPr>
      <t>εi</t>
    </r>
  </si>
  <si>
    <t>BAĞIMSIZ DEĞİŞKEN (x), YILIN İLK BEŞGÜNÜNDEKİ DEĞİŞİM YÜZDESİ SIFIR (OLURSA) HATALAR HARİÇ Y YAKLAŞIK -11,5 OLUR. X'DEKİ BİR BİRİMLİK ARTIŞ Y'Yİ 0,40183 BİRİM AZALTIR</t>
  </si>
  <si>
    <r>
      <t>R</t>
    </r>
    <r>
      <rPr>
        <vertAlign val="superscript"/>
        <sz val="12"/>
        <color theme="1"/>
        <rFont val="Times New Roman"/>
        <family val="1"/>
        <charset val="162"/>
      </rPr>
      <t>2</t>
    </r>
  </si>
  <si>
    <t xml:space="preserve">X, Y 'NİN YALNIZCA %1,21'İNİ AÇIKALAYABİLMEKTEDİR. </t>
  </si>
  <si>
    <t>HKT/BKT</t>
  </si>
  <si>
    <r>
      <t>1-R</t>
    </r>
    <r>
      <rPr>
        <vertAlign val="superscript"/>
        <sz val="12"/>
        <color theme="1"/>
        <rFont val="Times New Roman"/>
        <family val="1"/>
        <charset val="162"/>
      </rPr>
      <t>2</t>
    </r>
  </si>
  <si>
    <t>HKT</t>
  </si>
  <si>
    <r>
      <t>BKT*(1-R</t>
    </r>
    <r>
      <rPr>
        <vertAlign val="superscript"/>
        <sz val="12"/>
        <color theme="1"/>
        <rFont val="Times New Roman"/>
        <family val="1"/>
        <charset val="162"/>
      </rPr>
      <t>2</t>
    </r>
    <r>
      <rPr>
        <sz val="12"/>
        <color theme="1"/>
        <rFont val="Times New Roman"/>
        <family val="1"/>
        <charset val="162"/>
      </rPr>
      <t>)</t>
    </r>
  </si>
  <si>
    <t>&lt;  β  &lt;</t>
  </si>
  <si>
    <t>’NİN SAPMASIZ BİR TAHMİN EDİCİSİ :</t>
  </si>
  <si>
    <t xml:space="preserve">% 10 DÜZEYİNDE Ho KABUL EDİLİR. </t>
  </si>
  <si>
    <r>
      <t xml:space="preserve">Y=3,295833333-0,5391x + </t>
    </r>
    <r>
      <rPr>
        <sz val="12"/>
        <color theme="1"/>
        <rFont val="Arial Tur"/>
        <charset val="162"/>
      </rPr>
      <t>εi</t>
    </r>
  </si>
  <si>
    <t>KORELASYON KATSAYISI</t>
  </si>
  <si>
    <t>BELİRLİLİK KATSAYISI</t>
  </si>
  <si>
    <r>
      <t>s</t>
    </r>
    <r>
      <rPr>
        <vertAlign val="subscript"/>
        <sz val="12"/>
        <color theme="1"/>
        <rFont val="Times New Roman"/>
        <family val="1"/>
        <charset val="162"/>
      </rPr>
      <t>b</t>
    </r>
  </si>
  <si>
    <t xml:space="preserve">% 10 DÜZEYİNDE Ho REDDEDİLİR. </t>
  </si>
  <si>
    <r>
      <t xml:space="preserve">Y=97,21052632-58,42105x + </t>
    </r>
    <r>
      <rPr>
        <sz val="12"/>
        <color theme="1"/>
        <rFont val="Arial Tur"/>
        <charset val="162"/>
      </rPr>
      <t>εi</t>
    </r>
  </si>
  <si>
    <t>İSE</t>
  </si>
  <si>
    <t>% 10 DÜZEYİNDE Ho KABUL EDİLİR. YANİ EŞİTTİR. EŞİT DEĞİLDİR DİYEN Ho % 10 DÜZEYİNDE  REDDEDİLİR.</t>
  </si>
  <si>
    <r>
      <t xml:space="preserve">Y=-11,5045872-0,4018349x + </t>
    </r>
    <r>
      <rPr>
        <sz val="12"/>
        <color theme="1"/>
        <rFont val="Arial Tur"/>
        <charset val="162"/>
      </rPr>
      <t>εi</t>
    </r>
  </si>
  <si>
    <t>y</t>
  </si>
  <si>
    <t>a</t>
  </si>
  <si>
    <t>b</t>
  </si>
  <si>
    <t>y = -0,003+1,11x</t>
  </si>
  <si>
    <t>ALTIN GELİRİNİN YÜZDESİ</t>
  </si>
  <si>
    <t>TÜKETİCİ FİYAT İNDEKSİ</t>
  </si>
  <si>
    <t>Ho YAKLAŞIK %65 HATA DÜZEYİNE KADAR KABUL EDİLİR. EVET REGRESYON DOĞRUSUNUN EĞİMİ SIFIRDIR. DEĞİŞKENLER BAĞIMLIDIR.</t>
  </si>
  <si>
    <r>
      <t xml:space="preserve">Y=644,516129-42,58065x + </t>
    </r>
    <r>
      <rPr>
        <sz val="12"/>
        <color theme="1"/>
        <rFont val="Arial Tur"/>
        <charset val="162"/>
      </rPr>
      <t>εi</t>
    </r>
  </si>
  <si>
    <t>BAPIMSIZ DEĞİŞKEN (x), YILIN İLK BEŞGÜNÜNDEKİ DEĞİŞİM YÜZDESİ SIFIR (OLURSA) HATALAR HARİÇ Y YAKLAŞIK 644 OLUR. X'DEKİ BİR BİRİMLİK ARTIŞ Y'Yİ 42,58 AZALTIR</t>
  </si>
  <si>
    <t>GERÇEKLEŞEN</t>
  </si>
  <si>
    <t>BEKLENEN</t>
  </si>
  <si>
    <r>
      <t xml:space="preserve">Y=644,516129-0,0425806x + </t>
    </r>
    <r>
      <rPr>
        <sz val="12"/>
        <color theme="1"/>
        <rFont val="Arial Tur"/>
        <charset val="162"/>
      </rPr>
      <t>εi</t>
    </r>
  </si>
  <si>
    <r>
      <t>&lt;  Y</t>
    </r>
    <r>
      <rPr>
        <b/>
        <vertAlign val="subscript"/>
        <sz val="12"/>
        <color theme="1"/>
        <rFont val="Times New Roman"/>
        <family val="1"/>
        <charset val="162"/>
      </rPr>
      <t xml:space="preserve">n+1  </t>
    </r>
    <r>
      <rPr>
        <b/>
        <sz val="12"/>
        <color theme="1"/>
        <rFont val="Times New Roman"/>
        <family val="1"/>
        <charset val="162"/>
      </rPr>
      <t>&lt;</t>
    </r>
  </si>
  <si>
    <t>BAĞIMSIZ DEĞİŞKEN (x), YILIN İLK BEŞGÜNÜNDEKİ DEĞİŞİM YÜZDESİ SIFIR (OLURSA) HATALAR HARİÇ Y YAKLAŞIK 0,044 OLUR. X'DEKİ BİR BİRİMLİK ARTIŞ Y'Yİ 0,2243 BİRİM AZALTIR</t>
  </si>
  <si>
    <t>/</t>
  </si>
  <si>
    <t xml:space="preserve">%10 DÜZEYİNDE Ho REDDEDİLİR (VARYANSLAR FARKLIDIR). %1 DÜZEYİNDE REDDEDİLEMEZ. </t>
  </si>
  <si>
    <t xml:space="preserve">% 10 DÜZEYİNDE Ho REDDEDİLEMEZ        (VARYANSLAR EŞİT). </t>
  </si>
  <si>
    <t>Zα</t>
  </si>
  <si>
    <t>xort =</t>
  </si>
  <si>
    <t>xort 64,08'İ GEÇMEDİKÇE % 10 ANLAMLILIK DÜZEYİNDE ANAKÜTLE ORTALAMASININ 50'YE EŞİT OLDUĞUNU REDDEDEMEYİZ</t>
  </si>
  <si>
    <t>β</t>
  </si>
  <si>
    <t>&gt; Zα/2</t>
  </si>
  <si>
    <t>ise</t>
  </si>
  <si>
    <t>Ho % 1 DÜZEYİNDE REDDEDİLİR</t>
  </si>
  <si>
    <t>1-β</t>
  </si>
  <si>
    <t>Px</t>
  </si>
  <si>
    <t>ÖRNEK 13.2</t>
  </si>
  <si>
    <r>
      <t>x</t>
    </r>
    <r>
      <rPr>
        <b/>
        <vertAlign val="subscript"/>
        <sz val="11"/>
        <color theme="1"/>
        <rFont val="Times New Roman"/>
        <family val="1"/>
        <charset val="162"/>
      </rPr>
      <t>1</t>
    </r>
  </si>
  <si>
    <r>
      <t>x</t>
    </r>
    <r>
      <rPr>
        <b/>
        <vertAlign val="subscript"/>
        <sz val="11"/>
        <color theme="1"/>
        <rFont val="Times New Roman"/>
        <family val="1"/>
        <charset val="162"/>
      </rPr>
      <t>2</t>
    </r>
  </si>
  <si>
    <t>PARAMETRİK (KATSAYISAL) TESTLER</t>
  </si>
  <si>
    <t>ORTALAMADA n&gt;30 ORANDA n&gt;100 GİBİ BÜYÜK ÖRNEKLEMLERDE KULLANILABİLİR</t>
  </si>
  <si>
    <t>KÜÇÜK ÖRNEKLEMLERE DE UYGULANABİLİRLER</t>
  </si>
  <si>
    <r>
      <t xml:space="preserve">ÖRNEK BİRİMLERE AİT DEĞERLERİN </t>
    </r>
    <r>
      <rPr>
        <b/>
        <i/>
        <sz val="11"/>
        <color theme="1"/>
        <rFont val="Times New Roman"/>
        <family val="1"/>
        <charset val="162"/>
      </rPr>
      <t>SIRASINI</t>
    </r>
    <r>
      <rPr>
        <b/>
        <sz val="11"/>
        <color theme="1"/>
        <rFont val="Times New Roman"/>
        <family val="1"/>
        <charset val="162"/>
      </rPr>
      <t xml:space="preserve"> KULLANIRLAR</t>
    </r>
  </si>
  <si>
    <r>
      <t xml:space="preserve">ÖRNEK BİRİMLERE AİT </t>
    </r>
    <r>
      <rPr>
        <b/>
        <i/>
        <sz val="11"/>
        <color theme="1"/>
        <rFont val="Times New Roman"/>
        <family val="1"/>
        <charset val="162"/>
      </rPr>
      <t>DEĞERLERİ</t>
    </r>
    <r>
      <rPr>
        <b/>
        <sz val="11"/>
        <color theme="1"/>
        <rFont val="Times New Roman"/>
        <family val="1"/>
        <charset val="162"/>
      </rPr>
      <t xml:space="preserve"> KULLANIRLAR</t>
    </r>
  </si>
  <si>
    <r>
      <t xml:space="preserve">SONUÇLARI DAHA </t>
    </r>
    <r>
      <rPr>
        <b/>
        <i/>
        <sz val="11"/>
        <color theme="1"/>
        <rFont val="Times New Roman"/>
        <family val="1"/>
        <charset val="162"/>
      </rPr>
      <t>KESKİNDİR</t>
    </r>
  </si>
  <si>
    <r>
      <t xml:space="preserve">SONUÇLARI PARAMETRİK TESTLER KADAR </t>
    </r>
    <r>
      <rPr>
        <b/>
        <i/>
        <sz val="11"/>
        <color theme="1"/>
        <rFont val="Times New Roman"/>
        <family val="1"/>
        <charset val="162"/>
      </rPr>
      <t>KESKİN DEĞİL</t>
    </r>
  </si>
  <si>
    <t>NONPARAMETRİK (KATSAYISAL OLMAYAN) TESTLER</t>
  </si>
  <si>
    <r>
      <t xml:space="preserve">DAĞILIMA </t>
    </r>
    <r>
      <rPr>
        <b/>
        <i/>
        <sz val="11"/>
        <color theme="1"/>
        <rFont val="Times New Roman"/>
        <family val="1"/>
        <charset val="162"/>
      </rPr>
      <t>BAĞIMLIDIR</t>
    </r>
  </si>
  <si>
    <r>
      <t xml:space="preserve">DAĞILIMDAN </t>
    </r>
    <r>
      <rPr>
        <b/>
        <i/>
        <sz val="11"/>
        <color theme="1"/>
        <rFont val="Times New Roman"/>
        <family val="1"/>
        <charset val="162"/>
      </rPr>
      <t>BAĞIMSIZDIRLAR</t>
    </r>
  </si>
  <si>
    <t>BÜYÜK FARKLARI GÖZ ÖNÜNDE BULUNDURURLAR</t>
  </si>
  <si>
    <t>BÜYÜK FARKLARI GÖZ ÖNÜNDE BULUNDURMAZLAR</t>
  </si>
  <si>
    <t>KİKARE TESTLERİ</t>
  </si>
  <si>
    <t>KİKARE BAĞIMSIZLIK TESTLERİ</t>
  </si>
  <si>
    <t>KİKARE HOMOJENLİK (BAĞDAŞIKLIK) TESTLERİ</t>
  </si>
  <si>
    <t xml:space="preserve">ARALIK VE ORAN ÖLÇEKLERİNDE KULLANILABİLİRLER  </t>
  </si>
  <si>
    <t xml:space="preserve">NOMİNAL VE ORDİNAL ÖLÇEKLERDE KULLANILABİLİRLER      </t>
  </si>
  <si>
    <r>
      <rPr>
        <b/>
        <u/>
        <sz val="11"/>
        <color theme="1"/>
        <rFont val="Trebuchet MS"/>
        <family val="2"/>
        <charset val="162"/>
      </rPr>
      <t>ARALIK ÖLÇEĞİ:</t>
    </r>
    <r>
      <rPr>
        <b/>
        <sz val="11"/>
        <color theme="1"/>
        <rFont val="Trebuchet MS"/>
        <family val="2"/>
        <charset val="162"/>
      </rPr>
      <t xml:space="preserve"> SIFIRI YOK, MATEMATİĞE UYGUN, CELCIUS VE FAHRENHEIT                                                                                                                                      </t>
    </r>
    <r>
      <rPr>
        <b/>
        <u/>
        <sz val="11"/>
        <color theme="1"/>
        <rFont val="Trebuchet MS"/>
        <family val="2"/>
        <charset val="162"/>
      </rPr>
      <t>ORAN ÖLÇEĞİ:</t>
    </r>
    <r>
      <rPr>
        <b/>
        <sz val="11"/>
        <color theme="1"/>
        <rFont val="Trebuchet MS"/>
        <family val="2"/>
        <charset val="162"/>
      </rPr>
      <t xml:space="preserve"> SIFIRI VAR, MATEMATİĞE EN UYGUN                                    TERCİH SIRASI: ORAN - ARALIK - ORDİNAL - NOMİNAL</t>
    </r>
  </si>
  <si>
    <r>
      <rPr>
        <b/>
        <u/>
        <sz val="11"/>
        <color theme="1"/>
        <rFont val="Trebuchet MS"/>
        <family val="2"/>
        <charset val="162"/>
      </rPr>
      <t xml:space="preserve">ORDİNAL ÖLÇEK: </t>
    </r>
    <r>
      <rPr>
        <b/>
        <sz val="11"/>
        <color theme="1"/>
        <rFont val="Trebuchet MS"/>
        <family val="2"/>
        <charset val="162"/>
      </rPr>
      <t xml:space="preserve">KÜÇÜK (0-249), ORTA (250-999) VE BÜYÜK (1000 VE ÜST İŞÇİ ÇALIŞTIRAN) İŞLETME, MATEMATİĞE UYGUN DEĞİL                                                                             </t>
    </r>
    <r>
      <rPr>
        <b/>
        <u/>
        <sz val="11"/>
        <color theme="1"/>
        <rFont val="Trebuchet MS"/>
        <family val="2"/>
        <charset val="162"/>
      </rPr>
      <t>NOMİNAL ÖLÇEK:</t>
    </r>
    <r>
      <rPr>
        <b/>
        <sz val="11"/>
        <color theme="1"/>
        <rFont val="Trebuchet MS"/>
        <family val="2"/>
        <charset val="162"/>
      </rPr>
      <t xml:space="preserve"> KADIN (0), ERKEK (1). ÜSTÜNLÜK ORAN SAĞLAMAZ. MATEMATİĞE UYGUN DEĞİL.</t>
    </r>
  </si>
  <si>
    <t>MEDYAN TESTİ</t>
  </si>
  <si>
    <t>AKIŞ SAYISI (TESADÜFİLİK VAR MI?) TESTİ</t>
  </si>
  <si>
    <t>KOLMOGOROV - SMİRNOV TESTİ (KİKARENİN ALTERNATİFİ)</t>
  </si>
  <si>
    <t>BAĞIMLI ÖRNEKLER İÇİN WILCOXON İŞARETLİ SIRA TESTİ</t>
  </si>
  <si>
    <t>MAN WHITNEY U TESTİ (BAĞIMSIZ ÖRNEKLEM)</t>
  </si>
  <si>
    <t>WILCOXON SIRA - TOPLAM TESTİ (BAĞIMSIZ ÖRNEKLEM)</t>
  </si>
  <si>
    <t>İŞARET TESTİ (BAĞIMLI - EŞLENİK)</t>
  </si>
  <si>
    <t>COCHRAN Q TESTİ (BAĞIMLI - EŞLENİK)(NOMİNAL ÖLÇEKLİ)</t>
  </si>
  <si>
    <t>KRUSKAL - WALLIS TESTİ                                                                                  (TEK YÖNLÜ VARYANS ANALİZİNİN NONPARAMETRİK ALTERNATİFİ)</t>
  </si>
  <si>
    <t>FRIEDMAN TESTİ                                                                                                 (ÇİFT YÖNLÜ VARYANS ANALİZİNİN NONPARAMETRİK ALTERNATİFİ)</t>
  </si>
  <si>
    <r>
      <t>VON NEUMANN BAĞIMSIZLIK TESTİ                                                         (ZAMAN SERİLERİ VERİLERİNİN BAĞIMSIZLIĞINI ARAŞTIRIR)                                                                                                                             DURBİN WATSON: n</t>
    </r>
    <r>
      <rPr>
        <b/>
        <sz val="11"/>
        <color theme="1"/>
        <rFont val="Arial Tur"/>
        <charset val="162"/>
      </rPr>
      <t>≥</t>
    </r>
    <r>
      <rPr>
        <b/>
        <sz val="11"/>
        <color theme="1"/>
        <rFont val="Times New Roman"/>
        <family val="1"/>
        <charset val="162"/>
      </rPr>
      <t>15                                                                                                                                         VON NEUMANN ORAN TESTİ: n&lt;15</t>
    </r>
  </si>
  <si>
    <t>A SINIFI</t>
  </si>
  <si>
    <t>MEVCUT</t>
  </si>
  <si>
    <t>ARİTMETİK ORTALAMA</t>
  </si>
  <si>
    <r>
      <t>X</t>
    </r>
    <r>
      <rPr>
        <vertAlign val="subscript"/>
        <sz val="14"/>
        <color theme="1"/>
        <rFont val="Times New Roman"/>
        <family val="1"/>
        <charset val="162"/>
      </rPr>
      <t>1</t>
    </r>
  </si>
  <si>
    <t>(GÖZLEM)</t>
  </si>
  <si>
    <r>
      <t>X</t>
    </r>
    <r>
      <rPr>
        <vertAlign val="subscript"/>
        <sz val="14"/>
        <color theme="1"/>
        <rFont val="Times New Roman"/>
        <family val="1"/>
        <charset val="162"/>
      </rPr>
      <t>2</t>
    </r>
    <r>
      <rPr>
        <sz val="11"/>
        <color theme="1"/>
        <rFont val="Calibri"/>
        <family val="2"/>
        <charset val="162"/>
        <scheme val="minor"/>
      </rPr>
      <t/>
    </r>
  </si>
  <si>
    <r>
      <t>X</t>
    </r>
    <r>
      <rPr>
        <vertAlign val="subscript"/>
        <sz val="14"/>
        <color theme="1"/>
        <rFont val="Times New Roman"/>
        <family val="1"/>
        <charset val="162"/>
      </rPr>
      <t>3</t>
    </r>
    <r>
      <rPr>
        <sz val="11"/>
        <color theme="1"/>
        <rFont val="Calibri"/>
        <family val="2"/>
        <charset val="162"/>
        <scheme val="minor"/>
      </rPr>
      <t/>
    </r>
  </si>
  <si>
    <r>
      <t>X</t>
    </r>
    <r>
      <rPr>
        <vertAlign val="subscript"/>
        <sz val="14"/>
        <color theme="1"/>
        <rFont val="Times New Roman"/>
        <family val="1"/>
        <charset val="162"/>
      </rPr>
      <t>4</t>
    </r>
    <r>
      <rPr>
        <sz val="11"/>
        <color theme="1"/>
        <rFont val="Calibri"/>
        <family val="2"/>
        <charset val="162"/>
        <scheme val="minor"/>
      </rPr>
      <t/>
    </r>
  </si>
  <si>
    <r>
      <t>X</t>
    </r>
    <r>
      <rPr>
        <vertAlign val="subscript"/>
        <sz val="14"/>
        <color theme="1"/>
        <rFont val="Times New Roman"/>
        <family val="1"/>
        <charset val="162"/>
      </rPr>
      <t>5</t>
    </r>
    <r>
      <rPr>
        <sz val="11"/>
        <color theme="1"/>
        <rFont val="Calibri"/>
        <family val="2"/>
        <charset val="162"/>
        <scheme val="minor"/>
      </rPr>
      <t/>
    </r>
  </si>
  <si>
    <r>
      <t>X</t>
    </r>
    <r>
      <rPr>
        <vertAlign val="subscript"/>
        <sz val="14"/>
        <color theme="1"/>
        <rFont val="Times New Roman"/>
        <family val="1"/>
        <charset val="162"/>
      </rPr>
      <t>6</t>
    </r>
    <r>
      <rPr>
        <sz val="11"/>
        <color theme="1"/>
        <rFont val="Calibri"/>
        <family val="2"/>
        <charset val="162"/>
        <scheme val="minor"/>
      </rPr>
      <t/>
    </r>
  </si>
  <si>
    <r>
      <t>X</t>
    </r>
    <r>
      <rPr>
        <vertAlign val="subscript"/>
        <sz val="14"/>
        <color theme="1"/>
        <rFont val="Times New Roman"/>
        <family val="1"/>
        <charset val="162"/>
      </rPr>
      <t>7</t>
    </r>
    <r>
      <rPr>
        <sz val="11"/>
        <color theme="1"/>
        <rFont val="Calibri"/>
        <family val="2"/>
        <charset val="162"/>
        <scheme val="minor"/>
      </rPr>
      <t/>
    </r>
  </si>
  <si>
    <r>
      <t>X</t>
    </r>
    <r>
      <rPr>
        <vertAlign val="subscript"/>
        <sz val="14"/>
        <color theme="1"/>
        <rFont val="Times New Roman"/>
        <family val="1"/>
        <charset val="162"/>
      </rPr>
      <t>8</t>
    </r>
    <r>
      <rPr>
        <sz val="11"/>
        <color theme="1"/>
        <rFont val="Calibri"/>
        <family val="2"/>
        <charset val="162"/>
        <scheme val="minor"/>
      </rPr>
      <t/>
    </r>
  </si>
  <si>
    <r>
      <t>X</t>
    </r>
    <r>
      <rPr>
        <vertAlign val="subscript"/>
        <sz val="14"/>
        <color theme="1"/>
        <rFont val="Times New Roman"/>
        <family val="1"/>
        <charset val="162"/>
      </rPr>
      <t>9</t>
    </r>
    <r>
      <rPr>
        <sz val="11"/>
        <color theme="1"/>
        <rFont val="Calibri"/>
        <family val="2"/>
        <charset val="162"/>
        <scheme val="minor"/>
      </rPr>
      <t/>
    </r>
  </si>
  <si>
    <r>
      <t>X</t>
    </r>
    <r>
      <rPr>
        <vertAlign val="subscript"/>
        <sz val="14"/>
        <color theme="1"/>
        <rFont val="Times New Roman"/>
        <family val="1"/>
        <charset val="162"/>
      </rPr>
      <t>10</t>
    </r>
    <r>
      <rPr>
        <sz val="11"/>
        <color theme="1"/>
        <rFont val="Calibri"/>
        <family val="2"/>
        <charset val="162"/>
        <scheme val="minor"/>
      </rPr>
      <t/>
    </r>
  </si>
  <si>
    <r>
      <t>X</t>
    </r>
    <r>
      <rPr>
        <vertAlign val="subscript"/>
        <sz val="14"/>
        <color theme="1"/>
        <rFont val="Times New Roman"/>
        <family val="1"/>
        <charset val="162"/>
      </rPr>
      <t>11</t>
    </r>
    <r>
      <rPr>
        <sz val="11"/>
        <color theme="1"/>
        <rFont val="Calibri"/>
        <family val="2"/>
        <charset val="162"/>
        <scheme val="minor"/>
      </rPr>
      <t/>
    </r>
  </si>
  <si>
    <r>
      <t>X</t>
    </r>
    <r>
      <rPr>
        <vertAlign val="subscript"/>
        <sz val="14"/>
        <color theme="1"/>
        <rFont val="Times New Roman"/>
        <family val="1"/>
        <charset val="162"/>
      </rPr>
      <t>12</t>
    </r>
    <r>
      <rPr>
        <sz val="11"/>
        <color theme="1"/>
        <rFont val="Calibri"/>
        <family val="2"/>
        <charset val="162"/>
        <scheme val="minor"/>
      </rPr>
      <t/>
    </r>
  </si>
  <si>
    <r>
      <t>X</t>
    </r>
    <r>
      <rPr>
        <vertAlign val="subscript"/>
        <sz val="14"/>
        <color theme="1"/>
        <rFont val="Times New Roman"/>
        <family val="1"/>
        <charset val="162"/>
      </rPr>
      <t>13</t>
    </r>
    <r>
      <rPr>
        <sz val="11"/>
        <color theme="1"/>
        <rFont val="Calibri"/>
        <family val="2"/>
        <charset val="162"/>
        <scheme val="minor"/>
      </rPr>
      <t/>
    </r>
  </si>
  <si>
    <r>
      <t>X</t>
    </r>
    <r>
      <rPr>
        <vertAlign val="subscript"/>
        <sz val="14"/>
        <color theme="1"/>
        <rFont val="Times New Roman"/>
        <family val="1"/>
        <charset val="162"/>
      </rPr>
      <t>14</t>
    </r>
    <r>
      <rPr>
        <sz val="11"/>
        <color theme="1"/>
        <rFont val="Calibri"/>
        <family val="2"/>
        <charset val="162"/>
        <scheme val="minor"/>
      </rPr>
      <t/>
    </r>
  </si>
  <si>
    <r>
      <t>X</t>
    </r>
    <r>
      <rPr>
        <vertAlign val="subscript"/>
        <sz val="14"/>
        <color theme="1"/>
        <rFont val="Times New Roman"/>
        <family val="1"/>
        <charset val="162"/>
      </rPr>
      <t>15</t>
    </r>
    <r>
      <rPr>
        <sz val="11"/>
        <color theme="1"/>
        <rFont val="Calibri"/>
        <family val="2"/>
        <charset val="162"/>
        <scheme val="minor"/>
      </rPr>
      <t/>
    </r>
  </si>
  <si>
    <r>
      <t>X</t>
    </r>
    <r>
      <rPr>
        <vertAlign val="subscript"/>
        <sz val="14"/>
        <color theme="1"/>
        <rFont val="Times New Roman"/>
        <family val="1"/>
        <charset val="162"/>
      </rPr>
      <t>16</t>
    </r>
    <r>
      <rPr>
        <sz val="11"/>
        <color theme="1"/>
        <rFont val="Calibri"/>
        <family val="2"/>
        <charset val="162"/>
        <scheme val="minor"/>
      </rPr>
      <t/>
    </r>
  </si>
  <si>
    <r>
      <t>X</t>
    </r>
    <r>
      <rPr>
        <vertAlign val="subscript"/>
        <sz val="14"/>
        <color theme="1"/>
        <rFont val="Times New Roman"/>
        <family val="1"/>
        <charset val="162"/>
      </rPr>
      <t>17</t>
    </r>
    <r>
      <rPr>
        <sz val="11"/>
        <color theme="1"/>
        <rFont val="Calibri"/>
        <family val="2"/>
        <charset val="162"/>
        <scheme val="minor"/>
      </rPr>
      <t/>
    </r>
  </si>
  <si>
    <r>
      <t>X</t>
    </r>
    <r>
      <rPr>
        <vertAlign val="subscript"/>
        <sz val="14"/>
        <color theme="1"/>
        <rFont val="Times New Roman"/>
        <family val="1"/>
        <charset val="162"/>
      </rPr>
      <t>18</t>
    </r>
    <r>
      <rPr>
        <sz val="11"/>
        <color theme="1"/>
        <rFont val="Calibri"/>
        <family val="2"/>
        <charset val="162"/>
        <scheme val="minor"/>
      </rPr>
      <t/>
    </r>
  </si>
  <si>
    <r>
      <t>X</t>
    </r>
    <r>
      <rPr>
        <vertAlign val="subscript"/>
        <sz val="14"/>
        <color theme="1"/>
        <rFont val="Times New Roman"/>
        <family val="1"/>
        <charset val="162"/>
      </rPr>
      <t>19</t>
    </r>
    <r>
      <rPr>
        <sz val="11"/>
        <color theme="1"/>
        <rFont val="Calibri"/>
        <family val="2"/>
        <charset val="162"/>
        <scheme val="minor"/>
      </rPr>
      <t/>
    </r>
  </si>
  <si>
    <r>
      <t>X</t>
    </r>
    <r>
      <rPr>
        <vertAlign val="subscript"/>
        <sz val="14"/>
        <color theme="1"/>
        <rFont val="Times New Roman"/>
        <family val="1"/>
        <charset val="162"/>
      </rPr>
      <t>20</t>
    </r>
    <r>
      <rPr>
        <sz val="11"/>
        <color theme="1"/>
        <rFont val="Calibri"/>
        <family val="2"/>
        <charset val="162"/>
        <scheme val="minor"/>
      </rPr>
      <t/>
    </r>
  </si>
  <si>
    <t>Xi</t>
  </si>
  <si>
    <t>x1+x2+x3+….+x20</t>
  </si>
  <si>
    <t>anakütle için</t>
  </si>
  <si>
    <t xml:space="preserve">ÖRNEKLEM İÇİN </t>
  </si>
  <si>
    <t>MİN</t>
  </si>
  <si>
    <t>MAKSİMUM</t>
  </si>
  <si>
    <t>MOD</t>
  </si>
  <si>
    <t>MEDYAN (ORTANCA)</t>
  </si>
  <si>
    <t>2. KATİL</t>
  </si>
  <si>
    <t>64 (ORTANCA)</t>
  </si>
  <si>
    <t xml:space="preserve"> O</t>
  </si>
  <si>
    <t>GEOMETRİK ORTALAMA</t>
  </si>
  <si>
    <t>)</t>
  </si>
  <si>
    <t>BİRİKİMLİ FREKANS</t>
  </si>
  <si>
    <t>AR. ORTALAMA</t>
  </si>
  <si>
    <t>ORTALAMADAN FARKLAR</t>
  </si>
  <si>
    <t>OR. FARKLARIN KARESİ</t>
  </si>
  <si>
    <t>MUTLAK DEĞER</t>
  </si>
  <si>
    <t>YAYIKLIK</t>
  </si>
  <si>
    <t>ORTALAMDAN SAPMANIN STANDARDI</t>
  </si>
  <si>
    <t>ORTALAMDADAN FARKLARI</t>
  </si>
  <si>
    <t>MUTLAK FARKLAR</t>
  </si>
  <si>
    <t>OR. MUTLAK SAPMA</t>
  </si>
  <si>
    <t>ST. SAPMA</t>
  </si>
  <si>
    <t>MAKS</t>
  </si>
  <si>
    <t>ort</t>
  </si>
  <si>
    <t>med</t>
  </si>
  <si>
    <t>mod</t>
  </si>
  <si>
    <t>geo ort.</t>
  </si>
  <si>
    <t>OFK</t>
  </si>
  <si>
    <t>mak</t>
  </si>
  <si>
    <t>min</t>
  </si>
  <si>
    <t>aralık</t>
  </si>
  <si>
    <t>1. kartil</t>
  </si>
  <si>
    <t>2. kartil</t>
  </si>
  <si>
    <t>3. kartil</t>
  </si>
  <si>
    <t>(N+1)/4</t>
  </si>
  <si>
    <t>2.(N+1)/4</t>
  </si>
  <si>
    <t>3.(N+1)/4</t>
  </si>
  <si>
    <t>ortanca</t>
  </si>
  <si>
    <t>dörde bölenler aralığı( 3.-1.)</t>
  </si>
  <si>
    <t>ar or</t>
  </si>
  <si>
    <t>geo</t>
  </si>
  <si>
    <t>DBA</t>
  </si>
  <si>
    <t>1 st sapma</t>
  </si>
  <si>
    <t>2 st sapma</t>
  </si>
  <si>
    <t>3 st sapma</t>
  </si>
  <si>
    <t>uc değerlerden etkilernir</t>
  </si>
  <si>
    <t>uc değerlerden etkilenmez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</si>
</sst>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
    <numFmt numFmtId="165" formatCode="0.00000000"/>
    <numFmt numFmtId="166" formatCode="0.0000"/>
    <numFmt numFmtId="167" formatCode="0.000000000"/>
    <numFmt numFmtId="168" formatCode="0.0"/>
    <numFmt numFmtId="169" formatCode="0.0000000"/>
    <numFmt numFmtId="170" formatCode="0.00000000000000000000"/>
    <numFmt numFmtId="171" formatCode="0.000"/>
    <numFmt numFmtId="172" formatCode="0.000%"/>
  </numFmts>
  <fonts count="55" x14ac:knownFonts="1">
    <font>
      <sz val="11"/>
      <color theme="1"/>
      <name val="Calibri"/>
      <family val="2"/>
      <charset val="162"/>
      <scheme val="minor"/>
    </font>
    <font>
      <b/>
      <sz val="14"/>
      <color theme="1"/>
      <name val="Times New Roman"/>
      <family val="1"/>
      <charset val="162"/>
    </font>
    <font>
      <sz val="11"/>
      <color theme="1"/>
      <name val="Times New Roman"/>
      <family val="1"/>
      <charset val="162"/>
    </font>
    <font>
      <b/>
      <sz val="11"/>
      <color theme="1"/>
      <name val="Times New Roman"/>
      <family val="1"/>
      <charset val="162"/>
    </font>
    <font>
      <i/>
      <sz val="11"/>
      <color theme="1"/>
      <name val="Times New Roman"/>
      <family val="1"/>
      <charset val="162"/>
    </font>
    <font>
      <vertAlign val="superscript"/>
      <sz val="11"/>
      <color theme="1"/>
      <name val="Times New Roman"/>
      <family val="1"/>
      <charset val="162"/>
    </font>
    <font>
      <sz val="11"/>
      <color rgb="FFFF0000"/>
      <name val="Times New Roman"/>
      <family val="1"/>
      <charset val="162"/>
    </font>
    <font>
      <sz val="11"/>
      <name val="Times New Roman"/>
      <family val="1"/>
      <charset val="162"/>
    </font>
    <font>
      <b/>
      <sz val="12"/>
      <color theme="1"/>
      <name val="Times New Roman"/>
      <family val="1"/>
      <charset val="162"/>
    </font>
    <font>
      <sz val="12"/>
      <color theme="1"/>
      <name val="Times New Roman"/>
      <family val="1"/>
      <charset val="162"/>
    </font>
    <font>
      <vertAlign val="superscript"/>
      <sz val="12"/>
      <color theme="1"/>
      <name val="Times New Roman"/>
      <family val="1"/>
      <charset val="162"/>
    </font>
    <font>
      <b/>
      <i/>
      <sz val="12"/>
      <color theme="1"/>
      <name val="Times New Roman"/>
      <family val="1"/>
      <charset val="162"/>
    </font>
    <font>
      <b/>
      <i/>
      <sz val="14"/>
      <color theme="1"/>
      <name val="Times New Roman"/>
      <family val="1"/>
      <charset val="162"/>
    </font>
    <font>
      <i/>
      <sz val="12"/>
      <color theme="1"/>
      <name val="Times New Roman"/>
      <family val="1"/>
      <charset val="162"/>
    </font>
    <font>
      <sz val="12"/>
      <color theme="1"/>
      <name val="Arial Tur"/>
      <charset val="162"/>
    </font>
    <font>
      <sz val="12"/>
      <color rgb="FF222222"/>
      <name val="Arial"/>
      <family val="2"/>
      <charset val="162"/>
    </font>
    <font>
      <sz val="9"/>
      <color indexed="81"/>
      <name val="Tahoma"/>
      <family val="2"/>
      <charset val="162"/>
    </font>
    <font>
      <b/>
      <sz val="9"/>
      <color indexed="81"/>
      <name val="Tahoma"/>
      <family val="2"/>
      <charset val="162"/>
    </font>
    <font>
      <sz val="12"/>
      <color theme="1"/>
      <name val="Georgia"/>
      <family val="1"/>
      <charset val="162"/>
    </font>
    <font>
      <sz val="12"/>
      <color rgb="FF222222"/>
      <name val="Times New Roman"/>
      <family val="1"/>
      <charset val="162"/>
    </font>
    <font>
      <b/>
      <sz val="11"/>
      <color theme="1"/>
      <name val="Calibri"/>
      <family val="2"/>
      <charset val="162"/>
      <scheme val="minor"/>
    </font>
    <font>
      <sz val="14"/>
      <color theme="1"/>
      <name val="Times New Roman"/>
      <family val="1"/>
      <charset val="162"/>
    </font>
    <font>
      <i/>
      <sz val="14"/>
      <color theme="1"/>
      <name val="Times New Roman"/>
      <family val="1"/>
      <charset val="162"/>
    </font>
    <font>
      <b/>
      <sz val="18"/>
      <color theme="1"/>
      <name val="Times New Roman"/>
      <family val="1"/>
      <charset val="162"/>
    </font>
    <font>
      <sz val="10.199999999999999"/>
      <color theme="1"/>
      <name val="Times New Roman"/>
      <family val="1"/>
      <charset val="162"/>
    </font>
    <font>
      <sz val="12"/>
      <color theme="1"/>
      <name val="Symbol"/>
      <family val="1"/>
      <charset val="2"/>
    </font>
    <font>
      <vertAlign val="subscript"/>
      <sz val="12"/>
      <color theme="1"/>
      <name val="Times New Roman"/>
      <family val="1"/>
      <charset val="162"/>
    </font>
    <font>
      <b/>
      <sz val="12"/>
      <color rgb="FFFFC000"/>
      <name val="Times New Roman"/>
      <family val="1"/>
      <charset val="162"/>
    </font>
    <font>
      <sz val="12"/>
      <name val="Times New Roman"/>
      <family val="1"/>
      <charset val="162"/>
    </font>
    <font>
      <sz val="11"/>
      <color theme="1"/>
      <name val="Arial Tur"/>
      <charset val="162"/>
    </font>
    <font>
      <sz val="11"/>
      <color theme="1"/>
      <name val="Symbol"/>
      <family val="1"/>
      <charset val="2"/>
    </font>
    <font>
      <b/>
      <sz val="12"/>
      <color rgb="FFFF0000"/>
      <name val="Times New Roman"/>
      <family val="1"/>
      <charset val="162"/>
    </font>
    <font>
      <b/>
      <sz val="12"/>
      <color rgb="FFFFFF00"/>
      <name val="Times New Roman"/>
      <family val="1"/>
      <charset val="162"/>
    </font>
    <font>
      <vertAlign val="subscript"/>
      <sz val="9.35"/>
      <color theme="1"/>
      <name val="Times New Roman"/>
      <family val="1"/>
      <charset val="162"/>
    </font>
    <font>
      <vertAlign val="subscript"/>
      <sz val="11"/>
      <color theme="1"/>
      <name val="Arial Tur"/>
      <charset val="162"/>
    </font>
    <font>
      <vertAlign val="subscript"/>
      <sz val="11"/>
      <color theme="1"/>
      <name val="Times New Roman"/>
      <family val="1"/>
      <charset val="162"/>
    </font>
    <font>
      <vertAlign val="subscript"/>
      <sz val="12.65"/>
      <color theme="1"/>
      <name val="Times New Roman"/>
      <family val="1"/>
      <charset val="162"/>
    </font>
    <font>
      <vertAlign val="subscript"/>
      <sz val="14"/>
      <color theme="1"/>
      <name val="Times New Roman"/>
      <family val="1"/>
      <charset val="162"/>
    </font>
    <font>
      <sz val="11.5"/>
      <color theme="1"/>
      <name val="Times New Roman"/>
      <family val="1"/>
      <charset val="162"/>
    </font>
    <font>
      <i/>
      <sz val="11"/>
      <color rgb="FFFF0000"/>
      <name val="Times New Roman"/>
      <family val="1"/>
      <charset val="162"/>
    </font>
    <font>
      <sz val="11"/>
      <color rgb="FFFFC000"/>
      <name val="Times New Roman"/>
      <family val="1"/>
      <charset val="162"/>
    </font>
    <font>
      <b/>
      <sz val="14"/>
      <color theme="5" tint="-0.499984740745262"/>
      <name val="Times New Roman"/>
      <family val="1"/>
      <charset val="162"/>
    </font>
    <font>
      <b/>
      <sz val="14"/>
      <color rgb="FF002060"/>
      <name val="Times New Roman"/>
      <family val="1"/>
      <charset val="162"/>
    </font>
    <font>
      <b/>
      <sz val="72"/>
      <color theme="1"/>
      <name val="Times New Roman"/>
      <family val="1"/>
      <charset val="162"/>
    </font>
    <font>
      <b/>
      <sz val="14"/>
      <color theme="3" tint="-0.499984740745262"/>
      <name val="Times New Roman"/>
      <family val="1"/>
      <charset val="162"/>
    </font>
    <font>
      <b/>
      <vertAlign val="subscript"/>
      <sz val="12"/>
      <color theme="1"/>
      <name val="Times New Roman"/>
      <family val="1"/>
      <charset val="162"/>
    </font>
    <font>
      <sz val="11"/>
      <color theme="1"/>
      <name val="Cambria Math"/>
      <family val="1"/>
      <charset val="162"/>
    </font>
    <font>
      <b/>
      <vertAlign val="subscript"/>
      <sz val="11"/>
      <color theme="1"/>
      <name val="Times New Roman"/>
      <family val="1"/>
      <charset val="162"/>
    </font>
    <font>
      <b/>
      <i/>
      <sz val="11"/>
      <color theme="1"/>
      <name val="Times New Roman"/>
      <family val="1"/>
      <charset val="162"/>
    </font>
    <font>
      <b/>
      <sz val="12"/>
      <color rgb="FF002060"/>
      <name val="Times New Roman"/>
      <family val="1"/>
      <charset val="162"/>
    </font>
    <font>
      <b/>
      <sz val="11"/>
      <color theme="1"/>
      <name val="Trebuchet MS"/>
      <family val="2"/>
      <charset val="162"/>
    </font>
    <font>
      <b/>
      <u/>
      <sz val="11"/>
      <color theme="1"/>
      <name val="Trebuchet MS"/>
      <family val="2"/>
      <charset val="162"/>
    </font>
    <font>
      <b/>
      <sz val="11"/>
      <color theme="1"/>
      <name val="Arial Tur"/>
      <charset val="162"/>
    </font>
    <font>
      <sz val="8"/>
      <name val="Calibri"/>
      <family val="2"/>
      <charset val="162"/>
      <scheme val="minor"/>
    </font>
    <font>
      <sz val="8"/>
      <color theme="1"/>
      <name val="Times New Roman"/>
      <family val="1"/>
      <charset val="162"/>
    </font>
  </fonts>
  <fills count="1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2" tint="-0.249977111117893"/>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5"/>
        <bgColor indexed="64"/>
      </patternFill>
    </fill>
    <fill>
      <patternFill patternType="solid">
        <fgColor theme="9"/>
        <bgColor indexed="64"/>
      </patternFill>
    </fill>
  </fills>
  <borders count="4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theme="3" tint="0.39994506668294322"/>
      </right>
      <top style="medium">
        <color indexed="64"/>
      </top>
      <bottom style="thin">
        <color theme="3" tint="0.39994506668294322"/>
      </bottom>
      <diagonal/>
    </border>
    <border>
      <left style="thin">
        <color theme="3" tint="0.39994506668294322"/>
      </left>
      <right style="medium">
        <color indexed="64"/>
      </right>
      <top style="medium">
        <color indexed="64"/>
      </top>
      <bottom style="thin">
        <color theme="3" tint="0.39994506668294322"/>
      </bottom>
      <diagonal/>
    </border>
    <border>
      <left style="medium">
        <color indexed="64"/>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indexed="64"/>
      </right>
      <top style="thin">
        <color theme="3" tint="0.39994506668294322"/>
      </top>
      <bottom style="thin">
        <color theme="3" tint="0.39994506668294322"/>
      </bottom>
      <diagonal/>
    </border>
    <border>
      <left style="medium">
        <color indexed="64"/>
      </left>
      <right style="thin">
        <color theme="3" tint="0.39994506668294322"/>
      </right>
      <top style="thin">
        <color theme="3" tint="0.39994506668294322"/>
      </top>
      <bottom style="medium">
        <color indexed="64"/>
      </bottom>
      <diagonal/>
    </border>
    <border>
      <left style="thin">
        <color theme="3" tint="0.39994506668294322"/>
      </left>
      <right style="medium">
        <color indexed="64"/>
      </right>
      <top style="thin">
        <color theme="3" tint="0.39994506668294322"/>
      </top>
      <bottom style="medium">
        <color indexed="64"/>
      </bottom>
      <diagonal/>
    </border>
    <border>
      <left style="thin">
        <color theme="3" tint="0.39994506668294322"/>
      </left>
      <right/>
      <top style="medium">
        <color indexed="64"/>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style="thin">
        <color theme="3" tint="0.39994506668294322"/>
      </left>
      <right/>
      <top style="thin">
        <color theme="3" tint="0.3999450666829432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68">
    <xf numFmtId="0" fontId="0" fillId="0" borderId="0" xfId="0"/>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vertical="center" wrapText="1"/>
    </xf>
    <xf numFmtId="16" fontId="2" fillId="0" borderId="0" xfId="0" applyNumberFormat="1" applyFont="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7"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16" fontId="2" fillId="2" borderId="0" xfId="0" applyNumberFormat="1" applyFont="1" applyFill="1" applyAlignment="1">
      <alignment horizontal="center" vertical="center" wrapText="1"/>
    </xf>
    <xf numFmtId="2" fontId="2" fillId="2" borderId="0" xfId="0" applyNumberFormat="1" applyFont="1" applyFill="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2" fontId="9" fillId="0" borderId="0" xfId="0" applyNumberFormat="1" applyFont="1" applyAlignment="1">
      <alignment horizontal="center" vertical="center" wrapText="1"/>
    </xf>
    <xf numFmtId="0" fontId="9" fillId="5" borderId="0" xfId="0" applyFont="1" applyFill="1" applyAlignment="1">
      <alignment horizontal="center" vertical="center" wrapText="1"/>
    </xf>
    <xf numFmtId="164" fontId="9" fillId="5" borderId="0" xfId="0" applyNumberFormat="1" applyFont="1" applyFill="1" applyAlignment="1">
      <alignment horizontal="center" vertical="center" wrapText="1"/>
    </xf>
    <xf numFmtId="165" fontId="9" fillId="5" borderId="0" xfId="0" applyNumberFormat="1" applyFont="1" applyFill="1" applyAlignment="1">
      <alignment horizontal="center" vertical="center" wrapText="1"/>
    </xf>
    <xf numFmtId="13" fontId="9" fillId="0" borderId="0" xfId="0" applyNumberFormat="1" applyFont="1" applyAlignment="1">
      <alignment horizontal="center" vertical="center" wrapText="1"/>
    </xf>
    <xf numFmtId="167" fontId="9" fillId="0" borderId="0" xfId="0" applyNumberFormat="1" applyFont="1" applyAlignment="1">
      <alignment horizontal="center" vertical="center" wrapText="1"/>
    </xf>
    <xf numFmtId="166" fontId="9" fillId="5" borderId="0" xfId="0" applyNumberFormat="1" applyFont="1" applyFill="1" applyAlignment="1">
      <alignment horizontal="center" vertical="center" wrapText="1"/>
    </xf>
    <xf numFmtId="0" fontId="9" fillId="0" borderId="4" xfId="0" applyFont="1" applyBorder="1" applyAlignment="1">
      <alignment horizontal="center" vertical="center" wrapText="1"/>
    </xf>
    <xf numFmtId="168" fontId="9" fillId="0" borderId="0" xfId="0" applyNumberFormat="1" applyFont="1" applyAlignment="1">
      <alignment horizontal="center" vertical="center" wrapText="1"/>
    </xf>
    <xf numFmtId="0" fontId="9" fillId="6" borderId="0" xfId="0" applyFont="1" applyFill="1" applyAlignment="1">
      <alignment horizontal="center" vertical="center" wrapText="1"/>
    </xf>
    <xf numFmtId="0" fontId="9" fillId="0" borderId="4" xfId="0" applyFont="1" applyBorder="1" applyAlignment="1">
      <alignment vertical="center" wrapText="1"/>
    </xf>
    <xf numFmtId="0" fontId="8" fillId="0" borderId="0" xfId="0" applyFont="1" applyAlignment="1">
      <alignment vertical="center" wrapText="1"/>
    </xf>
    <xf numFmtId="0" fontId="8" fillId="0" borderId="4" xfId="0" applyFont="1" applyBorder="1" applyAlignment="1">
      <alignment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9" fillId="6" borderId="18"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6" borderId="9" xfId="0" applyFont="1" applyFill="1" applyBorder="1" applyAlignment="1">
      <alignment horizontal="center" vertical="center" wrapText="1"/>
    </xf>
    <xf numFmtId="0" fontId="13" fillId="0" borderId="18" xfId="0" applyFont="1" applyBorder="1" applyAlignment="1">
      <alignment horizontal="center" vertical="center" wrapText="1"/>
    </xf>
    <xf numFmtId="0" fontId="11" fillId="6" borderId="18" xfId="0" applyFont="1" applyFill="1" applyBorder="1" applyAlignment="1">
      <alignment horizontal="center" vertical="center" wrapText="1"/>
    </xf>
    <xf numFmtId="0" fontId="9" fillId="0" borderId="9" xfId="0" applyFont="1" applyBorder="1" applyAlignment="1">
      <alignment horizontal="center" vertical="center" wrapText="1"/>
    </xf>
    <xf numFmtId="0" fontId="15" fillId="0" borderId="0" xfId="0" applyFont="1"/>
    <xf numFmtId="167" fontId="9" fillId="6" borderId="18"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11" fillId="6" borderId="9" xfId="0" applyFont="1" applyFill="1" applyBorder="1" applyAlignment="1">
      <alignment horizontal="center" vertical="center" wrapText="1"/>
    </xf>
    <xf numFmtId="0" fontId="11" fillId="6" borderId="0" xfId="0" applyFont="1" applyFill="1" applyAlignment="1">
      <alignment horizontal="center" vertical="center" wrapText="1"/>
    </xf>
    <xf numFmtId="0" fontId="11" fillId="0" borderId="0" xfId="0" applyFont="1" applyAlignment="1">
      <alignment horizontal="center" vertical="center" wrapText="1"/>
    </xf>
    <xf numFmtId="165" fontId="9" fillId="0" borderId="0" xfId="0" applyNumberFormat="1" applyFont="1" applyAlignment="1">
      <alignment horizontal="center" vertical="center" wrapText="1"/>
    </xf>
    <xf numFmtId="0" fontId="18" fillId="0" borderId="0" xfId="0" applyFont="1" applyAlignment="1">
      <alignment horizontal="center" vertical="center" wrapText="1"/>
    </xf>
    <xf numFmtId="0" fontId="9" fillId="6" borderId="5" xfId="0" applyFont="1" applyFill="1" applyBorder="1" applyAlignment="1">
      <alignment horizontal="center" vertical="center" wrapText="1"/>
    </xf>
    <xf numFmtId="0" fontId="9" fillId="0" borderId="11" xfId="0" applyFont="1" applyBorder="1" applyAlignment="1">
      <alignment horizontal="center" vertical="center" wrapText="1"/>
    </xf>
    <xf numFmtId="169" fontId="9" fillId="6" borderId="5" xfId="0" applyNumberFormat="1"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0" xfId="0" applyFont="1" applyAlignment="1">
      <alignment horizontal="center"/>
    </xf>
    <xf numFmtId="9" fontId="9" fillId="8" borderId="18" xfId="0" applyNumberFormat="1" applyFont="1" applyFill="1" applyBorder="1" applyAlignment="1">
      <alignment horizontal="center" vertical="center" wrapText="1"/>
    </xf>
    <xf numFmtId="0" fontId="9" fillId="8" borderId="18" xfId="0" applyFont="1" applyFill="1" applyBorder="1" applyAlignment="1">
      <alignment horizontal="center" vertical="center" wrapText="1"/>
    </xf>
    <xf numFmtId="10" fontId="9" fillId="8" borderId="18" xfId="0" applyNumberFormat="1"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5" xfId="0" applyFont="1" applyBorder="1" applyAlignment="1">
      <alignment vertical="center" wrapText="1"/>
    </xf>
    <xf numFmtId="0" fontId="9" fillId="0" borderId="22" xfId="0" applyFont="1" applyBorder="1" applyAlignment="1">
      <alignment vertical="center" wrapText="1"/>
    </xf>
    <xf numFmtId="0" fontId="8" fillId="0" borderId="0" xfId="0" applyFont="1" applyAlignment="1">
      <alignment horizontal="center"/>
    </xf>
    <xf numFmtId="2" fontId="8" fillId="0" borderId="0" xfId="0" applyNumberFormat="1" applyFont="1" applyAlignment="1">
      <alignment horizontal="center"/>
    </xf>
    <xf numFmtId="165" fontId="8" fillId="0" borderId="0" xfId="0" applyNumberFormat="1" applyFont="1" applyAlignment="1">
      <alignment horizontal="center"/>
    </xf>
    <xf numFmtId="2" fontId="9" fillId="0" borderId="0" xfId="0" applyNumberFormat="1" applyFont="1" applyAlignment="1">
      <alignment horizontal="center"/>
    </xf>
    <xf numFmtId="165" fontId="9" fillId="0" borderId="0" xfId="0" applyNumberFormat="1" applyFont="1" applyAlignment="1">
      <alignment horizontal="center"/>
    </xf>
    <xf numFmtId="170" fontId="9" fillId="0" borderId="0" xfId="0" applyNumberFormat="1" applyFont="1" applyAlignment="1">
      <alignment horizontal="center"/>
    </xf>
    <xf numFmtId="166" fontId="9" fillId="0" borderId="0" xfId="0" applyNumberFormat="1" applyFont="1" applyAlignment="1">
      <alignment horizontal="center"/>
    </xf>
    <xf numFmtId="0" fontId="19" fillId="0" borderId="0" xfId="0" applyFont="1"/>
    <xf numFmtId="0" fontId="9" fillId="0" borderId="0" xfId="0" applyFont="1" applyAlignment="1">
      <alignment horizontal="left"/>
    </xf>
    <xf numFmtId="2" fontId="9" fillId="4" borderId="0" xfId="0" applyNumberFormat="1" applyFont="1" applyFill="1" applyAlignment="1">
      <alignment horizontal="center"/>
    </xf>
    <xf numFmtId="0" fontId="0" fillId="4" borderId="0" xfId="0" applyFill="1"/>
    <xf numFmtId="2" fontId="9" fillId="2" borderId="0" xfId="0" applyNumberFormat="1" applyFont="1" applyFill="1" applyAlignment="1">
      <alignment horizontal="center"/>
    </xf>
    <xf numFmtId="0" fontId="9" fillId="2" borderId="0" xfId="0" applyFont="1" applyFill="1" applyAlignment="1">
      <alignment horizontal="center"/>
    </xf>
    <xf numFmtId="165" fontId="9" fillId="2" borderId="0" xfId="0" applyNumberFormat="1" applyFont="1" applyFill="1" applyAlignment="1">
      <alignment horizontal="center"/>
    </xf>
    <xf numFmtId="170" fontId="9" fillId="2" borderId="0" xfId="0" applyNumberFormat="1" applyFont="1" applyFill="1" applyAlignment="1">
      <alignment horizontal="center"/>
    </xf>
    <xf numFmtId="166" fontId="9" fillId="2" borderId="0" xfId="0" applyNumberFormat="1" applyFont="1" applyFill="1" applyAlignment="1">
      <alignment horizontal="center"/>
    </xf>
    <xf numFmtId="0" fontId="20" fillId="0" borderId="0" xfId="0" applyFont="1"/>
    <xf numFmtId="2" fontId="9" fillId="2" borderId="1" xfId="0" applyNumberFormat="1" applyFont="1" applyFill="1" applyBorder="1" applyAlignment="1">
      <alignment horizontal="center"/>
    </xf>
    <xf numFmtId="0" fontId="9" fillId="2" borderId="2" xfId="0" applyFont="1" applyFill="1" applyBorder="1" applyAlignment="1">
      <alignment horizontal="left"/>
    </xf>
    <xf numFmtId="0" fontId="0" fillId="2" borderId="2" xfId="0" applyFill="1" applyBorder="1"/>
    <xf numFmtId="0" fontId="0" fillId="2" borderId="3" xfId="0" applyFill="1" applyBorder="1"/>
    <xf numFmtId="2" fontId="1" fillId="2" borderId="7" xfId="0" applyNumberFormat="1" applyFont="1" applyFill="1" applyBorder="1" applyAlignment="1">
      <alignment horizontal="center" vertical="center" wrapText="1"/>
    </xf>
    <xf numFmtId="0" fontId="1" fillId="2" borderId="7" xfId="0" applyFont="1" applyFill="1" applyBorder="1" applyAlignment="1">
      <alignment horizontal="center" vertical="center" wrapText="1"/>
    </xf>
    <xf numFmtId="2" fontId="9" fillId="4" borderId="19" xfId="0" applyNumberFormat="1" applyFont="1" applyFill="1" applyBorder="1" applyAlignment="1">
      <alignment horizontal="center"/>
    </xf>
    <xf numFmtId="0" fontId="9" fillId="0" borderId="21" xfId="0" applyFont="1" applyBorder="1" applyAlignment="1">
      <alignment horizontal="left"/>
    </xf>
    <xf numFmtId="2" fontId="8" fillId="4" borderId="23" xfId="0" applyNumberFormat="1" applyFont="1" applyFill="1" applyBorder="1" applyAlignment="1">
      <alignment horizontal="center"/>
    </xf>
    <xf numFmtId="0" fontId="8" fillId="0" borderId="24" xfId="0" applyFont="1" applyBorder="1" applyAlignment="1">
      <alignment horizontal="left"/>
    </xf>
    <xf numFmtId="2" fontId="9" fillId="4" borderId="23" xfId="0" applyNumberFormat="1" applyFont="1" applyFill="1" applyBorder="1" applyAlignment="1">
      <alignment horizontal="center"/>
    </xf>
    <xf numFmtId="0" fontId="9" fillId="0" borderId="24" xfId="0" applyFont="1" applyBorder="1" applyAlignment="1">
      <alignment horizontal="left"/>
    </xf>
    <xf numFmtId="2" fontId="9" fillId="4" borderId="25" xfId="0" applyNumberFormat="1" applyFont="1" applyFill="1" applyBorder="1" applyAlignment="1">
      <alignment horizontal="center"/>
    </xf>
    <xf numFmtId="0" fontId="9" fillId="0" borderId="26" xfId="0" applyFont="1" applyBorder="1" applyAlignment="1">
      <alignment horizontal="left"/>
    </xf>
    <xf numFmtId="0" fontId="9" fillId="0" borderId="4" xfId="0" applyFont="1" applyBorder="1" applyAlignment="1">
      <alignment horizontal="left"/>
    </xf>
    <xf numFmtId="2" fontId="13" fillId="4" borderId="19" xfId="0" applyNumberFormat="1" applyFont="1" applyFill="1" applyBorder="1" applyAlignment="1">
      <alignment horizontal="center"/>
    </xf>
    <xf numFmtId="0" fontId="13" fillId="0" borderId="21" xfId="0" applyFont="1" applyBorder="1" applyAlignment="1">
      <alignment horizontal="left"/>
    </xf>
    <xf numFmtId="2" fontId="11" fillId="4" borderId="23" xfId="0" applyNumberFormat="1" applyFont="1" applyFill="1" applyBorder="1" applyAlignment="1">
      <alignment horizontal="center"/>
    </xf>
    <xf numFmtId="0" fontId="11" fillId="0" borderId="24" xfId="0" applyFont="1" applyBorder="1" applyAlignment="1">
      <alignment horizontal="left"/>
    </xf>
    <xf numFmtId="2" fontId="13" fillId="4" borderId="23" xfId="0" applyNumberFormat="1" applyFont="1" applyFill="1" applyBorder="1" applyAlignment="1">
      <alignment horizontal="center"/>
    </xf>
    <xf numFmtId="0" fontId="13" fillId="0" borderId="24" xfId="0" applyFont="1" applyBorder="1" applyAlignment="1">
      <alignment horizontal="left"/>
    </xf>
    <xf numFmtId="2" fontId="13" fillId="4" borderId="25" xfId="0" applyNumberFormat="1" applyFont="1" applyFill="1" applyBorder="1" applyAlignment="1">
      <alignment horizontal="center"/>
    </xf>
    <xf numFmtId="0" fontId="13" fillId="0" borderId="26" xfId="0" applyFont="1" applyBorder="1" applyAlignment="1">
      <alignment horizontal="left"/>
    </xf>
    <xf numFmtId="0" fontId="11" fillId="0" borderId="0" xfId="0" applyFont="1" applyAlignment="1">
      <alignment horizontal="left"/>
    </xf>
    <xf numFmtId="0" fontId="13" fillId="0" borderId="0" xfId="0" applyFont="1" applyAlignment="1">
      <alignment horizontal="left"/>
    </xf>
    <xf numFmtId="0" fontId="13" fillId="0" borderId="27" xfId="0" applyFont="1" applyBorder="1" applyAlignment="1">
      <alignment horizontal="left"/>
    </xf>
    <xf numFmtId="2" fontId="11" fillId="4" borderId="0" xfId="0" applyNumberFormat="1" applyFont="1" applyFill="1" applyAlignment="1">
      <alignment horizontal="center"/>
    </xf>
    <xf numFmtId="2" fontId="13" fillId="4" borderId="0" xfId="0" applyNumberFormat="1" applyFont="1" applyFill="1" applyAlignment="1">
      <alignment horizontal="center"/>
    </xf>
    <xf numFmtId="2" fontId="13" fillId="4" borderId="27" xfId="0" applyNumberFormat="1" applyFont="1" applyFill="1" applyBorder="1" applyAlignment="1">
      <alignment horizontal="center"/>
    </xf>
    <xf numFmtId="0" fontId="0" fillId="2" borderId="4" xfId="0" applyFill="1" applyBorder="1"/>
    <xf numFmtId="0" fontId="0" fillId="2" borderId="27" xfId="0" applyFill="1" applyBorder="1"/>
    <xf numFmtId="0" fontId="0" fillId="2" borderId="21" xfId="0" applyFill="1" applyBorder="1"/>
    <xf numFmtId="0" fontId="0" fillId="2" borderId="26" xfId="0" applyFill="1" applyBorder="1"/>
    <xf numFmtId="2" fontId="13" fillId="4" borderId="4" xfId="0" applyNumberFormat="1" applyFont="1" applyFill="1" applyBorder="1" applyAlignment="1">
      <alignment horizontal="center"/>
    </xf>
    <xf numFmtId="2" fontId="9" fillId="2" borderId="19" xfId="0" applyNumberFormat="1" applyFont="1" applyFill="1" applyBorder="1" applyAlignment="1">
      <alignment horizontal="center"/>
    </xf>
    <xf numFmtId="0" fontId="9" fillId="2" borderId="4" xfId="0" applyFont="1" applyFill="1" applyBorder="1" applyAlignment="1">
      <alignment horizontal="left"/>
    </xf>
    <xf numFmtId="2" fontId="9" fillId="2" borderId="25" xfId="0" applyNumberFormat="1" applyFont="1" applyFill="1" applyBorder="1" applyAlignment="1">
      <alignment horizontal="center"/>
    </xf>
    <xf numFmtId="0" fontId="9" fillId="2" borderId="27" xfId="0" applyFont="1" applyFill="1" applyBorder="1" applyAlignment="1">
      <alignment horizontal="left"/>
    </xf>
    <xf numFmtId="0" fontId="13" fillId="0" borderId="4" xfId="0" applyFont="1" applyBorder="1" applyAlignment="1">
      <alignment horizontal="left"/>
    </xf>
    <xf numFmtId="0" fontId="2" fillId="0" borderId="0" xfId="0" applyFont="1"/>
    <xf numFmtId="2" fontId="21" fillId="4" borderId="28" xfId="0" applyNumberFormat="1" applyFont="1" applyFill="1" applyBorder="1" applyAlignment="1">
      <alignment horizontal="center"/>
    </xf>
    <xf numFmtId="0" fontId="21" fillId="0" borderId="29" xfId="0" applyFont="1" applyBorder="1" applyAlignment="1">
      <alignment horizontal="left"/>
    </xf>
    <xf numFmtId="2" fontId="1" fillId="4" borderId="30" xfId="0" applyNumberFormat="1" applyFont="1" applyFill="1" applyBorder="1" applyAlignment="1">
      <alignment horizontal="center"/>
    </xf>
    <xf numFmtId="0" fontId="1" fillId="0" borderId="31" xfId="0" applyFont="1" applyBorder="1" applyAlignment="1">
      <alignment horizontal="left"/>
    </xf>
    <xf numFmtId="2" fontId="21" fillId="4" borderId="30" xfId="0" applyNumberFormat="1" applyFont="1" applyFill="1" applyBorder="1" applyAlignment="1">
      <alignment horizontal="center"/>
    </xf>
    <xf numFmtId="0" fontId="21" fillId="0" borderId="31" xfId="0" applyFont="1" applyBorder="1" applyAlignment="1">
      <alignment horizontal="left"/>
    </xf>
    <xf numFmtId="2" fontId="21" fillId="4" borderId="32" xfId="0" applyNumberFormat="1" applyFont="1" applyFill="1" applyBorder="1" applyAlignment="1">
      <alignment horizontal="center"/>
    </xf>
    <xf numFmtId="0" fontId="21" fillId="0" borderId="33" xfId="0" applyFont="1" applyBorder="1" applyAlignment="1">
      <alignment horizontal="left"/>
    </xf>
    <xf numFmtId="2" fontId="12" fillId="4" borderId="30" xfId="0" applyNumberFormat="1" applyFont="1" applyFill="1" applyBorder="1" applyAlignment="1">
      <alignment horizontal="center"/>
    </xf>
    <xf numFmtId="0" fontId="12" fillId="0" borderId="31" xfId="0" applyFont="1" applyBorder="1" applyAlignment="1">
      <alignment horizontal="left"/>
    </xf>
    <xf numFmtId="2" fontId="22" fillId="4" borderId="30" xfId="0" applyNumberFormat="1" applyFont="1" applyFill="1" applyBorder="1" applyAlignment="1">
      <alignment horizontal="center"/>
    </xf>
    <xf numFmtId="0" fontId="22" fillId="0" borderId="31" xfId="0" applyFont="1" applyBorder="1" applyAlignment="1">
      <alignment horizontal="left"/>
    </xf>
    <xf numFmtId="2" fontId="22" fillId="4" borderId="32" xfId="0" applyNumberFormat="1" applyFont="1" applyFill="1" applyBorder="1" applyAlignment="1">
      <alignment horizontal="center"/>
    </xf>
    <xf numFmtId="0" fontId="22" fillId="0" borderId="33" xfId="0" applyFont="1" applyBorder="1" applyAlignment="1">
      <alignment horizontal="left"/>
    </xf>
    <xf numFmtId="0" fontId="21" fillId="0" borderId="34" xfId="0" applyFont="1" applyBorder="1" applyAlignment="1">
      <alignment horizontal="left"/>
    </xf>
    <xf numFmtId="0" fontId="12" fillId="0" borderId="35" xfId="0" applyFont="1" applyBorder="1" applyAlignment="1">
      <alignment horizontal="left"/>
    </xf>
    <xf numFmtId="0" fontId="22" fillId="0" borderId="35" xfId="0" applyFont="1" applyBorder="1" applyAlignment="1">
      <alignment horizontal="left"/>
    </xf>
    <xf numFmtId="0" fontId="22" fillId="0" borderId="36" xfId="0" applyFont="1" applyBorder="1" applyAlignment="1">
      <alignment horizontal="left"/>
    </xf>
    <xf numFmtId="2" fontId="22" fillId="4" borderId="28" xfId="0" applyNumberFormat="1" applyFont="1" applyFill="1" applyBorder="1" applyAlignment="1">
      <alignment horizontal="center"/>
    </xf>
    <xf numFmtId="0" fontId="22" fillId="0" borderId="29" xfId="0" applyFont="1" applyBorder="1" applyAlignment="1">
      <alignment horizontal="left"/>
    </xf>
    <xf numFmtId="2" fontId="23" fillId="2" borderId="7" xfId="0" applyNumberFormat="1" applyFont="1" applyFill="1" applyBorder="1" applyAlignment="1">
      <alignment horizontal="center" vertical="center" wrapText="1"/>
    </xf>
    <xf numFmtId="0" fontId="23" fillId="2"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8" borderId="5" xfId="0" applyFont="1" applyFill="1" applyBorder="1" applyAlignment="1">
      <alignment vertical="center" wrapText="1"/>
    </xf>
    <xf numFmtId="0" fontId="9" fillId="0" borderId="11" xfId="0" applyFont="1" applyBorder="1" applyAlignment="1">
      <alignment vertical="center" wrapText="1"/>
    </xf>
    <xf numFmtId="0" fontId="9" fillId="0" borderId="5" xfId="0" applyFont="1" applyBorder="1" applyAlignment="1">
      <alignment horizontal="center" vertical="center" wrapText="1"/>
    </xf>
    <xf numFmtId="0" fontId="9" fillId="8" borderId="0" xfId="0" applyFont="1" applyFill="1" applyAlignment="1">
      <alignment horizontal="center" vertical="center" wrapText="1"/>
    </xf>
    <xf numFmtId="0" fontId="9" fillId="0" borderId="0" xfId="0" applyFont="1" applyAlignment="1">
      <alignment vertical="center" wrapText="1"/>
    </xf>
    <xf numFmtId="0" fontId="9" fillId="10" borderId="0" xfId="0" applyFont="1" applyFill="1" applyAlignment="1">
      <alignment horizontal="center" vertical="center" wrapText="1"/>
    </xf>
    <xf numFmtId="0" fontId="9" fillId="0" borderId="17" xfId="0" applyFont="1" applyBorder="1" applyAlignment="1">
      <alignment horizontal="center" vertical="center" wrapText="1"/>
    </xf>
    <xf numFmtId="169" fontId="9" fillId="0" borderId="0" xfId="0" applyNumberFormat="1" applyFont="1" applyAlignment="1">
      <alignment horizontal="center" vertical="center" wrapText="1"/>
    </xf>
    <xf numFmtId="169" fontId="9" fillId="8" borderId="18" xfId="0" applyNumberFormat="1" applyFont="1" applyFill="1" applyBorder="1" applyAlignment="1">
      <alignment horizontal="center" vertical="center" wrapText="1"/>
    </xf>
    <xf numFmtId="169" fontId="9" fillId="8" borderId="9" xfId="0" applyNumberFormat="1" applyFont="1" applyFill="1" applyBorder="1" applyAlignment="1">
      <alignment horizontal="center" vertical="center" wrapText="1"/>
    </xf>
    <xf numFmtId="0" fontId="9" fillId="8" borderId="7" xfId="0" applyFont="1" applyFill="1" applyBorder="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 fillId="8" borderId="18"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0" borderId="0" xfId="0" applyFont="1" applyAlignment="1">
      <alignment vertical="center" wrapText="1"/>
    </xf>
    <xf numFmtId="0" fontId="2" fillId="8" borderId="37"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31" fillId="0" borderId="0" xfId="0" applyFont="1" applyAlignment="1">
      <alignment horizontal="center" vertical="center" wrapText="1"/>
    </xf>
    <xf numFmtId="0" fontId="6" fillId="0" borderId="0" xfId="0" applyFont="1" applyAlignment="1">
      <alignment horizontal="center" vertical="center" wrapText="1"/>
    </xf>
    <xf numFmtId="0" fontId="2" fillId="10"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10" borderId="9" xfId="0" applyFont="1" applyFill="1" applyBorder="1" applyAlignment="1">
      <alignment horizontal="center" vertical="center" wrapText="1"/>
    </xf>
    <xf numFmtId="0" fontId="29"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left" vertical="center" wrapText="1"/>
    </xf>
    <xf numFmtId="0" fontId="9" fillId="0" borderId="0" xfId="0" applyFont="1"/>
    <xf numFmtId="0" fontId="32" fillId="0" borderId="0" xfId="0" applyFont="1" applyAlignment="1">
      <alignment horizontal="center" vertical="center" wrapText="1"/>
    </xf>
    <xf numFmtId="0" fontId="21" fillId="0" borderId="0" xfId="0" applyFont="1"/>
    <xf numFmtId="0" fontId="38" fillId="0" borderId="0" xfId="0" applyFont="1"/>
    <xf numFmtId="0" fontId="7" fillId="10" borderId="18" xfId="0" applyFont="1" applyFill="1" applyBorder="1" applyAlignment="1">
      <alignment horizontal="center" vertical="center" wrapText="1"/>
    </xf>
    <xf numFmtId="0" fontId="39" fillId="0" borderId="0" xfId="0" applyFont="1" applyAlignment="1">
      <alignment horizontal="center" vertical="center" wrapText="1"/>
    </xf>
    <xf numFmtId="0" fontId="2" fillId="4" borderId="18"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0" borderId="0" xfId="0" applyFont="1" applyAlignment="1">
      <alignment wrapText="1"/>
    </xf>
    <xf numFmtId="0" fontId="40" fillId="0" borderId="0" xfId="0" applyFont="1" applyAlignment="1">
      <alignment horizontal="center" vertical="center" wrapText="1"/>
    </xf>
    <xf numFmtId="0" fontId="2" fillId="15" borderId="18" xfId="0" applyFont="1" applyFill="1" applyBorder="1" applyAlignment="1">
      <alignment horizontal="center" vertical="center" wrapText="1"/>
    </xf>
    <xf numFmtId="0" fontId="9" fillId="0" borderId="0" xfId="0" applyFont="1" applyAlignment="1">
      <alignment horizontal="center" wrapText="1"/>
    </xf>
    <xf numFmtId="0" fontId="9" fillId="0" borderId="0" xfId="0" applyFont="1" applyAlignment="1">
      <alignment wrapText="1"/>
    </xf>
    <xf numFmtId="171" fontId="9" fillId="0" borderId="0" xfId="0" applyNumberFormat="1" applyFont="1" applyAlignment="1">
      <alignment horizontal="center" vertical="center" wrapText="1"/>
    </xf>
    <xf numFmtId="0" fontId="41" fillId="0" borderId="0" xfId="0" applyFont="1" applyAlignment="1">
      <alignment vertical="center" wrapText="1"/>
    </xf>
    <xf numFmtId="166" fontId="9" fillId="0" borderId="0" xfId="0" applyNumberFormat="1" applyFont="1" applyAlignment="1">
      <alignment horizontal="center" vertical="center" wrapText="1"/>
    </xf>
    <xf numFmtId="0" fontId="9" fillId="16" borderId="18" xfId="0" applyFont="1" applyFill="1" applyBorder="1" applyAlignment="1">
      <alignment horizontal="center" vertical="center" wrapText="1"/>
    </xf>
    <xf numFmtId="0" fontId="9" fillId="0" borderId="0" xfId="0" applyFont="1" applyAlignment="1">
      <alignment horizontal="left" vertical="center" wrapText="1"/>
    </xf>
    <xf numFmtId="0" fontId="9" fillId="0" borderId="2" xfId="0" applyFont="1" applyBorder="1" applyAlignment="1">
      <alignment horizontal="center" vertical="center" wrapText="1"/>
    </xf>
    <xf numFmtId="0" fontId="9" fillId="0" borderId="27" xfId="0" applyFont="1" applyBorder="1" applyAlignment="1">
      <alignment horizontal="center" vertical="center" wrapText="1"/>
    </xf>
    <xf numFmtId="0" fontId="2" fillId="2" borderId="18"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4" fillId="8" borderId="18" xfId="0" applyFont="1" applyFill="1" applyBorder="1" applyAlignment="1">
      <alignment horizontal="center" vertical="center" wrapText="1"/>
    </xf>
    <xf numFmtId="0" fontId="14" fillId="16" borderId="18"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2" fillId="0" borderId="16" xfId="0" applyFont="1" applyBorder="1" applyAlignment="1">
      <alignment vertical="center" wrapText="1"/>
    </xf>
    <xf numFmtId="0" fontId="46" fillId="0" borderId="0" xfId="0" applyFont="1" applyAlignment="1">
      <alignment horizontal="center" vertical="center" wrapText="1"/>
    </xf>
    <xf numFmtId="172" fontId="2" fillId="4" borderId="18" xfId="0" applyNumberFormat="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8" xfId="0" applyFont="1" applyBorder="1" applyAlignment="1">
      <alignment horizontal="left" vertical="center" wrapText="1"/>
    </xf>
    <xf numFmtId="0" fontId="3" fillId="0" borderId="0" xfId="0" applyFont="1" applyAlignment="1">
      <alignment horizontal="left" vertical="center" wrapText="1"/>
    </xf>
    <xf numFmtId="0" fontId="49" fillId="16" borderId="7" xfId="0" applyFont="1" applyFill="1" applyBorder="1" applyAlignment="1">
      <alignment horizontal="center" vertical="center" wrapText="1"/>
    </xf>
    <xf numFmtId="0" fontId="3" fillId="0" borderId="9" xfId="0" applyFont="1" applyBorder="1" applyAlignment="1">
      <alignment horizontal="left" vertical="center" wrapText="1"/>
    </xf>
    <xf numFmtId="0" fontId="49" fillId="0" borderId="38" xfId="0" applyFont="1" applyBorder="1" applyAlignment="1">
      <alignment horizontal="center" vertical="center" wrapText="1"/>
    </xf>
    <xf numFmtId="0" fontId="50" fillId="4" borderId="40" xfId="0" applyFont="1" applyFill="1" applyBorder="1" applyAlignment="1">
      <alignment horizontal="left" vertical="top" wrapText="1"/>
    </xf>
    <xf numFmtId="0" fontId="49" fillId="16" borderId="7" xfId="0" applyFont="1" applyFill="1" applyBorder="1" applyAlignment="1">
      <alignment vertical="center" wrapText="1"/>
    </xf>
    <xf numFmtId="0" fontId="49" fillId="0" borderId="39" xfId="0" applyFont="1" applyBorder="1" applyAlignment="1">
      <alignment vertical="center" wrapText="1"/>
    </xf>
    <xf numFmtId="0" fontId="50" fillId="4" borderId="41" xfId="0" applyFont="1" applyFill="1" applyBorder="1" applyAlignment="1">
      <alignment vertical="center" wrapText="1"/>
    </xf>
    <xf numFmtId="0" fontId="3" fillId="0" borderId="9" xfId="0" applyFont="1" applyBorder="1" applyAlignment="1">
      <alignment vertical="center" wrapText="1"/>
    </xf>
    <xf numFmtId="0" fontId="3" fillId="0" borderId="18" xfId="0" applyFont="1" applyBorder="1" applyAlignment="1">
      <alignment vertical="center" wrapText="1"/>
    </xf>
    <xf numFmtId="0" fontId="2" fillId="0" borderId="18" xfId="0" applyFont="1" applyBorder="1" applyAlignment="1">
      <alignment vertical="center" wrapText="1"/>
    </xf>
    <xf numFmtId="0" fontId="21" fillId="0" borderId="0" xfId="0" applyFont="1" applyAlignment="1">
      <alignment horizontal="center" vertical="center"/>
    </xf>
    <xf numFmtId="0" fontId="21" fillId="4" borderId="0" xfId="0" applyFont="1" applyFill="1" applyAlignment="1">
      <alignment horizontal="center" vertical="center"/>
    </xf>
    <xf numFmtId="0" fontId="21" fillId="5" borderId="0" xfId="0" applyFont="1" applyFill="1" applyAlignment="1">
      <alignment horizontal="center" vertical="center"/>
    </xf>
    <xf numFmtId="2" fontId="21" fillId="0" borderId="0" xfId="0" applyNumberFormat="1" applyFont="1" applyAlignment="1">
      <alignment horizontal="center" vertical="center"/>
    </xf>
    <xf numFmtId="0" fontId="21" fillId="0" borderId="0" xfId="0" applyFont="1" applyAlignment="1">
      <alignment horizontal="left" vertical="center"/>
    </xf>
    <xf numFmtId="0" fontId="54" fillId="0" borderId="0" xfId="0" applyFont="1" applyAlignment="1">
      <alignment horizontal="center" vertical="center"/>
    </xf>
    <xf numFmtId="0" fontId="2" fillId="8"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9" fontId="2" fillId="0" borderId="5"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1" fillId="4" borderId="3"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2" borderId="0" xfId="0" applyFont="1" applyFill="1" applyAlignment="1">
      <alignment horizontal="center" vertical="center" wrapText="1"/>
    </xf>
    <xf numFmtId="16" fontId="2" fillId="0" borderId="0" xfId="0" applyNumberFormat="1" applyFont="1" applyAlignment="1">
      <alignment horizontal="center" vertical="center" wrapText="1"/>
    </xf>
    <xf numFmtId="0" fontId="2" fillId="0" borderId="18" xfId="0" applyFont="1" applyBorder="1" applyAlignment="1">
      <alignment horizontal="center" vertical="center" wrapText="1"/>
    </xf>
    <xf numFmtId="0" fontId="2" fillId="2" borderId="18" xfId="0" applyFont="1" applyFill="1" applyBorder="1" applyAlignment="1">
      <alignment horizontal="left" vertical="center" wrapText="1"/>
    </xf>
    <xf numFmtId="0" fontId="2" fillId="2" borderId="18" xfId="0" applyFont="1" applyFill="1" applyBorder="1" applyAlignment="1">
      <alignment horizontal="center" vertical="center" wrapText="1"/>
    </xf>
    <xf numFmtId="0" fontId="2" fillId="0" borderId="0" xfId="0" applyFont="1" applyAlignment="1">
      <alignment horizontal="left" vertical="center" wrapText="1"/>
    </xf>
    <xf numFmtId="0" fontId="21" fillId="5" borderId="0" xfId="0" applyFont="1" applyFill="1" applyAlignment="1">
      <alignment horizontal="center" vertical="center"/>
    </xf>
    <xf numFmtId="0" fontId="21" fillId="0" borderId="0" xfId="0" applyFont="1" applyAlignment="1">
      <alignment horizontal="center" vertical="center"/>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6" borderId="18"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6" borderId="4" xfId="0" applyFont="1" applyFill="1" applyBorder="1" applyAlignment="1">
      <alignment horizontal="center" vertical="center" wrapText="1"/>
    </xf>
    <xf numFmtId="0" fontId="9" fillId="6" borderId="0" xfId="0" applyFont="1" applyFill="1" applyAlignment="1">
      <alignment horizontal="center" vertical="center" wrapText="1"/>
    </xf>
    <xf numFmtId="0" fontId="8" fillId="7" borderId="4"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8" fillId="0" borderId="18" xfId="0" applyFont="1" applyBorder="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8" fillId="0" borderId="4" xfId="0" applyFont="1" applyBorder="1" applyAlignment="1">
      <alignment horizontal="center" vertical="center" wrapText="1"/>
    </xf>
    <xf numFmtId="0" fontId="12" fillId="0" borderId="0" xfId="0" applyFont="1" applyAlignment="1">
      <alignment horizontal="center" vertical="center" wrapText="1"/>
    </xf>
    <xf numFmtId="0" fontId="9" fillId="0" borderId="18"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9" fillId="6" borderId="9" xfId="0" applyFont="1" applyFill="1" applyBorder="1" applyAlignment="1">
      <alignment horizontal="center" vertical="center" wrapText="1"/>
    </xf>
    <xf numFmtId="0" fontId="9" fillId="6" borderId="10" xfId="0" applyFont="1" applyFill="1" applyBorder="1" applyAlignment="1">
      <alignment horizontal="left" vertical="center" wrapText="1"/>
    </xf>
    <xf numFmtId="0" fontId="9" fillId="6" borderId="16" xfId="0" applyFont="1" applyFill="1" applyBorder="1" applyAlignment="1">
      <alignment horizontal="left" vertical="center" wrapText="1"/>
    </xf>
    <xf numFmtId="0" fontId="9" fillId="6" borderId="13" xfId="0" applyFont="1" applyFill="1" applyBorder="1" applyAlignment="1">
      <alignment horizontal="left" vertical="center" wrapText="1"/>
    </xf>
    <xf numFmtId="0" fontId="9" fillId="6" borderId="11" xfId="0" applyFont="1" applyFill="1" applyBorder="1" applyAlignment="1">
      <alignment horizontal="left" vertical="center" wrapText="1"/>
    </xf>
    <xf numFmtId="0" fontId="9" fillId="6" borderId="0" xfId="0" applyFont="1" applyFill="1" applyAlignment="1">
      <alignment horizontal="left" vertical="center" wrapText="1"/>
    </xf>
    <xf numFmtId="0" fontId="9" fillId="6" borderId="14" xfId="0" applyFont="1" applyFill="1" applyBorder="1" applyAlignment="1">
      <alignment horizontal="left" vertical="center" wrapText="1"/>
    </xf>
    <xf numFmtId="0" fontId="9" fillId="6" borderId="12" xfId="0" applyFont="1" applyFill="1" applyBorder="1" applyAlignment="1">
      <alignment horizontal="left" vertical="center" wrapText="1"/>
    </xf>
    <xf numFmtId="0" fontId="9" fillId="6" borderId="17" xfId="0" applyFont="1" applyFill="1" applyBorder="1" applyAlignment="1">
      <alignment horizontal="left" vertical="center" wrapText="1"/>
    </xf>
    <xf numFmtId="0" fontId="9" fillId="6" borderId="15" xfId="0" applyFont="1" applyFill="1" applyBorder="1" applyAlignment="1">
      <alignment horizontal="left" vertical="center" wrapText="1"/>
    </xf>
    <xf numFmtId="0" fontId="11" fillId="0" borderId="0" xfId="0" applyFont="1" applyAlignment="1">
      <alignment horizontal="center" vertical="center" wrapText="1"/>
    </xf>
    <xf numFmtId="0" fontId="9" fillId="6" borderId="18" xfId="0" applyFont="1" applyFill="1" applyBorder="1" applyAlignment="1">
      <alignment horizontal="left" vertical="center" wrapText="1"/>
    </xf>
    <xf numFmtId="0" fontId="9" fillId="0" borderId="20" xfId="0" applyFont="1" applyBorder="1" applyAlignment="1">
      <alignment horizontal="center" vertical="center" wrapText="1"/>
    </xf>
    <xf numFmtId="0" fontId="8" fillId="7" borderId="2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7" xfId="0" applyFont="1" applyBorder="1" applyAlignment="1">
      <alignment horizontal="center" vertical="center" wrapText="1"/>
    </xf>
    <xf numFmtId="0" fontId="9" fillId="8" borderId="18" xfId="0" applyFont="1" applyFill="1" applyBorder="1" applyAlignment="1">
      <alignment horizontal="left" vertical="center" wrapText="1"/>
    </xf>
    <xf numFmtId="0" fontId="8" fillId="9" borderId="19"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9" fillId="0" borderId="16" xfId="0" applyFont="1" applyBorder="1" applyAlignment="1">
      <alignment horizontal="center" vertical="center" wrapText="1"/>
    </xf>
    <xf numFmtId="0" fontId="9" fillId="8" borderId="9" xfId="0" applyFont="1" applyFill="1" applyBorder="1" applyAlignment="1">
      <alignment horizontal="center" vertical="center" wrapText="1"/>
    </xf>
    <xf numFmtId="0" fontId="9" fillId="0" borderId="11" xfId="0" applyFont="1" applyBorder="1" applyAlignment="1">
      <alignment horizontal="center" vertical="center" wrapText="1"/>
    </xf>
    <xf numFmtId="0" fontId="9" fillId="0" borderId="6" xfId="0" applyFont="1" applyBorder="1" applyAlignment="1">
      <alignment horizontal="center" vertical="center" wrapText="1"/>
    </xf>
    <xf numFmtId="0" fontId="27" fillId="11" borderId="1" xfId="0" applyFont="1" applyFill="1" applyBorder="1" applyAlignment="1">
      <alignment horizontal="center" vertical="center" wrapText="1"/>
    </xf>
    <xf numFmtId="0" fontId="27" fillId="11" borderId="2" xfId="0" applyFont="1" applyFill="1" applyBorder="1" applyAlignment="1">
      <alignment horizontal="center" vertical="center" wrapText="1"/>
    </xf>
    <xf numFmtId="0" fontId="27" fillId="11" borderId="3" xfId="0" applyFont="1" applyFill="1" applyBorder="1" applyAlignment="1">
      <alignment horizontal="center" vertical="center" wrapText="1"/>
    </xf>
    <xf numFmtId="0" fontId="23" fillId="4" borderId="0" xfId="0" applyFont="1" applyFill="1" applyAlignment="1">
      <alignment horizontal="center" vertical="center" textRotation="90" wrapText="1"/>
    </xf>
    <xf numFmtId="0" fontId="28" fillId="0" borderId="0" xfId="0" applyFont="1" applyAlignment="1">
      <alignment horizontal="center" vertical="center" wrapText="1"/>
    </xf>
    <xf numFmtId="0" fontId="2" fillId="8" borderId="0" xfId="0" applyFont="1" applyFill="1" applyAlignment="1">
      <alignment horizontal="center" vertical="center" wrapText="1"/>
    </xf>
    <xf numFmtId="0" fontId="28" fillId="0" borderId="4" xfId="0" applyFont="1" applyBorder="1" applyAlignment="1">
      <alignment horizontal="center" vertical="center" wrapText="1"/>
    </xf>
    <xf numFmtId="0" fontId="27" fillId="11" borderId="4"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8" fillId="0" borderId="17" xfId="0" applyFont="1" applyBorder="1" applyAlignment="1">
      <alignment horizontal="center" vertical="center" wrapText="1"/>
    </xf>
    <xf numFmtId="0" fontId="2" fillId="10" borderId="5"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2" xfId="0" applyFont="1" applyFill="1" applyBorder="1" applyAlignment="1">
      <alignment horizontal="center" vertical="center" wrapText="1"/>
    </xf>
    <xf numFmtId="0" fontId="32" fillId="12" borderId="1" xfId="0" applyFont="1" applyFill="1" applyBorder="1" applyAlignment="1">
      <alignment horizontal="center" vertical="center" wrapText="1"/>
    </xf>
    <xf numFmtId="0" fontId="8" fillId="12" borderId="2"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2" fillId="10" borderId="18" xfId="0" applyFont="1" applyFill="1" applyBorder="1" applyAlignment="1">
      <alignment horizontal="center" vertical="center" wrapText="1"/>
    </xf>
    <xf numFmtId="0" fontId="2"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2" fillId="0" borderId="9" xfId="0" applyFont="1" applyBorder="1" applyAlignment="1">
      <alignment horizontal="center" vertical="center" wrapText="1"/>
    </xf>
    <xf numFmtId="0" fontId="2" fillId="10" borderId="9"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8" fillId="12" borderId="21" xfId="0" applyFont="1" applyFill="1" applyBorder="1" applyAlignment="1">
      <alignment horizontal="center" vertical="center" wrapText="1"/>
    </xf>
    <xf numFmtId="0" fontId="32" fillId="12" borderId="2" xfId="0" applyFont="1" applyFill="1" applyBorder="1" applyAlignment="1">
      <alignment horizontal="center" vertical="center" wrapText="1"/>
    </xf>
    <xf numFmtId="0" fontId="32" fillId="12" borderId="3" xfId="0" applyFont="1" applyFill="1" applyBorder="1" applyAlignment="1">
      <alignment horizontal="center" vertical="center" wrapText="1"/>
    </xf>
    <xf numFmtId="0" fontId="2"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2" fillId="11" borderId="1" xfId="0" applyFont="1" applyFill="1" applyBorder="1" applyAlignment="1">
      <alignment horizontal="center" vertical="center" wrapText="1"/>
    </xf>
    <xf numFmtId="0" fontId="32" fillId="11" borderId="2" xfId="0" applyFont="1" applyFill="1" applyBorder="1" applyAlignment="1">
      <alignment horizontal="center" vertical="center" wrapText="1"/>
    </xf>
    <xf numFmtId="0" fontId="32" fillId="11" borderId="3"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15" borderId="18" xfId="0" applyFont="1" applyFill="1" applyBorder="1" applyAlignment="1">
      <alignment horizontal="center" vertical="center" wrapText="1"/>
    </xf>
    <xf numFmtId="0" fontId="27" fillId="13" borderId="1" xfId="0" applyFont="1" applyFill="1" applyBorder="1" applyAlignment="1">
      <alignment horizontal="center" vertical="center" wrapText="1"/>
    </xf>
    <xf numFmtId="0" fontId="27" fillId="13" borderId="2"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7" fillId="14" borderId="0" xfId="0" applyFont="1" applyFill="1" applyAlignment="1">
      <alignment horizontal="center" vertical="center" wrapText="1"/>
    </xf>
    <xf numFmtId="0" fontId="7" fillId="0" borderId="0" xfId="0" applyFont="1" applyAlignment="1">
      <alignment horizontal="center" vertical="center" wrapText="1"/>
    </xf>
    <xf numFmtId="0" fontId="2" fillId="15" borderId="10" xfId="0" applyFont="1" applyFill="1" applyBorder="1" applyAlignment="1">
      <alignment horizontal="center" vertical="center" wrapText="1"/>
    </xf>
    <xf numFmtId="0" fontId="2" fillId="15" borderId="16" xfId="0" applyFont="1" applyFill="1" applyBorder="1" applyAlignment="1">
      <alignment horizontal="center" vertical="center" wrapText="1"/>
    </xf>
    <xf numFmtId="0" fontId="2" fillId="15" borderId="13"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15" borderId="17"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42" fillId="14" borderId="1" xfId="0" applyFont="1" applyFill="1" applyBorder="1" applyAlignment="1">
      <alignment horizontal="center" vertical="center" wrapText="1"/>
    </xf>
    <xf numFmtId="0" fontId="42" fillId="14" borderId="2" xfId="0" applyFont="1" applyFill="1" applyBorder="1" applyAlignment="1">
      <alignment horizontal="center" vertical="center" wrapText="1"/>
    </xf>
    <xf numFmtId="0" fontId="42" fillId="14" borderId="3" xfId="0" applyFont="1" applyFill="1" applyBorder="1" applyAlignment="1">
      <alignment horizontal="center" vertical="center" wrapText="1"/>
    </xf>
    <xf numFmtId="0" fontId="2" fillId="16" borderId="18" xfId="0" applyFont="1" applyFill="1" applyBorder="1" applyAlignment="1">
      <alignment horizontal="center" wrapText="1"/>
    </xf>
    <xf numFmtId="0" fontId="9" fillId="16" borderId="18" xfId="0" applyFont="1" applyFill="1" applyBorder="1" applyAlignment="1">
      <alignment horizontal="center" vertical="center" wrapText="1"/>
    </xf>
    <xf numFmtId="0" fontId="43" fillId="0" borderId="0" xfId="0" applyFont="1" applyAlignment="1">
      <alignment horizontal="center" vertical="center" wrapText="1"/>
    </xf>
    <xf numFmtId="0" fontId="9" fillId="0" borderId="0" xfId="0" applyFont="1" applyAlignment="1">
      <alignment horizont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0" fillId="0" borderId="0" xfId="0" applyAlignment="1">
      <alignment horizontal="center"/>
    </xf>
    <xf numFmtId="0" fontId="9" fillId="0" borderId="0" xfId="0" applyFont="1" applyAlignment="1">
      <alignment horizontal="left" vertical="center" wrapText="1"/>
    </xf>
    <xf numFmtId="0" fontId="9" fillId="0" borderId="27" xfId="0" applyFont="1" applyBorder="1" applyAlignment="1">
      <alignment horizontal="left" vertical="center" wrapText="1"/>
    </xf>
    <xf numFmtId="0" fontId="44" fillId="4" borderId="1" xfId="0" applyFont="1" applyFill="1" applyBorder="1" applyAlignment="1">
      <alignment horizontal="center" vertical="center" wrapText="1"/>
    </xf>
    <xf numFmtId="0" fontId="44" fillId="4" borderId="2" xfId="0" applyFont="1" applyFill="1" applyBorder="1" applyAlignment="1">
      <alignment horizontal="center" vertical="center" wrapText="1"/>
    </xf>
    <xf numFmtId="0" fontId="44" fillId="4" borderId="3" xfId="0" applyFont="1" applyFill="1" applyBorder="1" applyAlignment="1">
      <alignment horizontal="center" vertical="center" wrapText="1"/>
    </xf>
    <xf numFmtId="0" fontId="0" fillId="0" borderId="4" xfId="0" applyBorder="1" applyAlignment="1">
      <alignment horizontal="center"/>
    </xf>
    <xf numFmtId="0" fontId="9" fillId="0" borderId="18" xfId="0" applyFont="1" applyBorder="1" applyAlignment="1">
      <alignment horizontal="center"/>
    </xf>
    <xf numFmtId="0" fontId="8" fillId="0" borderId="18" xfId="0" applyFont="1" applyBorder="1" applyAlignment="1">
      <alignment horizontal="center"/>
    </xf>
    <xf numFmtId="0" fontId="21" fillId="3" borderId="0" xfId="0" applyFont="1" applyFill="1" applyAlignment="1">
      <alignment horizontal="center" vertical="center"/>
    </xf>
    <xf numFmtId="0" fontId="21" fillId="4" borderId="18" xfId="0" applyFont="1" applyFill="1" applyBorder="1" applyAlignment="1">
      <alignment horizontal="center" vertical="center"/>
    </xf>
    <xf numFmtId="0" fontId="21" fillId="8" borderId="18" xfId="0" applyFont="1" applyFill="1" applyBorder="1" applyAlignment="1">
      <alignment horizontal="center" vertical="center"/>
    </xf>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40124247857941"/>
          <c:y val="0.12898328505619364"/>
          <c:w val="0.78417903219344098"/>
          <c:h val="0.65891819927660022"/>
        </c:manualLayout>
      </c:layout>
      <c:barChart>
        <c:barDir val="col"/>
        <c:grouping val="clustered"/>
        <c:varyColors val="0"/>
        <c:ser>
          <c:idx val="0"/>
          <c:order val="0"/>
          <c:invertIfNegative val="0"/>
          <c:cat>
            <c:strRef>
              <c:f>'Bölüm 2'!$A$594:$A$598</c:f>
              <c:strCache>
                <c:ptCount val="5"/>
                <c:pt idx="0">
                  <c:v>0-4</c:v>
                </c:pt>
                <c:pt idx="1">
                  <c:v>4_8</c:v>
                </c:pt>
                <c:pt idx="2">
                  <c:v>8_12</c:v>
                </c:pt>
                <c:pt idx="3">
                  <c:v>12_16</c:v>
                </c:pt>
                <c:pt idx="4">
                  <c:v>16_20</c:v>
                </c:pt>
              </c:strCache>
            </c:strRef>
          </c:cat>
          <c:val>
            <c:numRef>
              <c:f>'Bölüm 2'!$B$594:$B$598</c:f>
              <c:numCache>
                <c:formatCode>General</c:formatCode>
                <c:ptCount val="5"/>
                <c:pt idx="0">
                  <c:v>3</c:v>
                </c:pt>
                <c:pt idx="1">
                  <c:v>7</c:v>
                </c:pt>
                <c:pt idx="2">
                  <c:v>8</c:v>
                </c:pt>
                <c:pt idx="3">
                  <c:v>5</c:v>
                </c:pt>
                <c:pt idx="4">
                  <c:v>2</c:v>
                </c:pt>
              </c:numCache>
            </c:numRef>
          </c:val>
          <c:extLst>
            <c:ext xmlns:c16="http://schemas.microsoft.com/office/drawing/2014/chart" uri="{C3380CC4-5D6E-409C-BE32-E72D297353CC}">
              <c16:uniqueId val="{00000000-B5B8-4234-99EB-9F987D6B5101}"/>
            </c:ext>
          </c:extLst>
        </c:ser>
        <c:dLbls>
          <c:showLegendKey val="0"/>
          <c:showVal val="0"/>
          <c:showCatName val="0"/>
          <c:showSerName val="0"/>
          <c:showPercent val="0"/>
          <c:showBubbleSize val="0"/>
        </c:dLbls>
        <c:gapWidth val="0"/>
        <c:overlap val="100"/>
        <c:axId val="35916416"/>
        <c:axId val="35926400"/>
      </c:barChart>
      <c:catAx>
        <c:axId val="35916416"/>
        <c:scaling>
          <c:orientation val="minMax"/>
        </c:scaling>
        <c:delete val="0"/>
        <c:axPos val="b"/>
        <c:numFmt formatCode="General" sourceLinked="0"/>
        <c:majorTickMark val="out"/>
        <c:minorTickMark val="none"/>
        <c:tickLblPos val="nextTo"/>
        <c:crossAx val="35926400"/>
        <c:crosses val="autoZero"/>
        <c:auto val="1"/>
        <c:lblAlgn val="ctr"/>
        <c:lblOffset val="100"/>
        <c:noMultiLvlLbl val="0"/>
      </c:catAx>
      <c:valAx>
        <c:axId val="35926400"/>
        <c:scaling>
          <c:orientation val="minMax"/>
        </c:scaling>
        <c:delete val="0"/>
        <c:axPos val="l"/>
        <c:majorGridlines/>
        <c:numFmt formatCode="General" sourceLinked="1"/>
        <c:majorTickMark val="out"/>
        <c:minorTickMark val="none"/>
        <c:tickLblPos val="nextTo"/>
        <c:crossAx val="35916416"/>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xVal>
            <c:numRef>
              <c:f>'Bölüm 4'!$F$3:$F$7</c:f>
              <c:numCache>
                <c:formatCode>General</c:formatCode>
                <c:ptCount val="5"/>
                <c:pt idx="0">
                  <c:v>0.28000000000000003</c:v>
                </c:pt>
                <c:pt idx="1">
                  <c:v>0.64</c:v>
                </c:pt>
                <c:pt idx="2">
                  <c:v>0.87</c:v>
                </c:pt>
                <c:pt idx="3">
                  <c:v>0.96</c:v>
                </c:pt>
                <c:pt idx="4">
                  <c:v>1</c:v>
                </c:pt>
              </c:numCache>
            </c:numRef>
          </c:xVal>
          <c:yVal>
            <c:numRef>
              <c:f>'Bölüm 4'!$G$3:$G$7</c:f>
              <c:numCache>
                <c:formatCode>General</c:formatCode>
                <c:ptCount val="5"/>
              </c:numCache>
            </c:numRef>
          </c:yVal>
          <c:smooth val="1"/>
          <c:extLst>
            <c:ext xmlns:c16="http://schemas.microsoft.com/office/drawing/2014/chart" uri="{C3380CC4-5D6E-409C-BE32-E72D297353CC}">
              <c16:uniqueId val="{00000000-B5A9-408D-9692-784022F24568}"/>
            </c:ext>
          </c:extLst>
        </c:ser>
        <c:ser>
          <c:idx val="1"/>
          <c:order val="1"/>
          <c:xVal>
            <c:numRef>
              <c:f>'Bölüm 4'!$F$3:$F$7</c:f>
              <c:numCache>
                <c:formatCode>General</c:formatCode>
                <c:ptCount val="5"/>
                <c:pt idx="0">
                  <c:v>0.28000000000000003</c:v>
                </c:pt>
                <c:pt idx="1">
                  <c:v>0.64</c:v>
                </c:pt>
                <c:pt idx="2">
                  <c:v>0.87</c:v>
                </c:pt>
                <c:pt idx="3">
                  <c:v>0.96</c:v>
                </c:pt>
                <c:pt idx="4">
                  <c:v>1</c:v>
                </c:pt>
              </c:numCache>
            </c:numRef>
          </c:xVal>
          <c:yVal>
            <c:numRef>
              <c:f>'Bölüm 4'!$H$3:$H$7</c:f>
              <c:numCache>
                <c:formatCode>General</c:formatCode>
                <c:ptCount val="5"/>
              </c:numCache>
            </c:numRef>
          </c:yVal>
          <c:smooth val="1"/>
          <c:extLst>
            <c:ext xmlns:c16="http://schemas.microsoft.com/office/drawing/2014/chart" uri="{C3380CC4-5D6E-409C-BE32-E72D297353CC}">
              <c16:uniqueId val="{00000001-B5A9-408D-9692-784022F24568}"/>
            </c:ext>
          </c:extLst>
        </c:ser>
        <c:ser>
          <c:idx val="2"/>
          <c:order val="2"/>
          <c:xVal>
            <c:numRef>
              <c:f>'Bölüm 4'!$F$3:$F$7</c:f>
              <c:numCache>
                <c:formatCode>General</c:formatCode>
                <c:ptCount val="5"/>
                <c:pt idx="0">
                  <c:v>0.28000000000000003</c:v>
                </c:pt>
                <c:pt idx="1">
                  <c:v>0.64</c:v>
                </c:pt>
                <c:pt idx="2">
                  <c:v>0.87</c:v>
                </c:pt>
                <c:pt idx="3">
                  <c:v>0.96</c:v>
                </c:pt>
                <c:pt idx="4">
                  <c:v>1</c:v>
                </c:pt>
              </c:numCache>
            </c:numRef>
          </c:xVal>
          <c:yVal>
            <c:numRef>
              <c:f>'Bölüm 4'!$A$3:$A$10</c:f>
              <c:numCache>
                <c:formatCode>General</c:formatCode>
                <c:ptCount val="8"/>
                <c:pt idx="0">
                  <c:v>0</c:v>
                </c:pt>
                <c:pt idx="1">
                  <c:v>1</c:v>
                </c:pt>
                <c:pt idx="2">
                  <c:v>2</c:v>
                </c:pt>
                <c:pt idx="3">
                  <c:v>3</c:v>
                </c:pt>
                <c:pt idx="4">
                  <c:v>4</c:v>
                </c:pt>
                <c:pt idx="6">
                  <c:v>0</c:v>
                </c:pt>
              </c:numCache>
            </c:numRef>
          </c:yVal>
          <c:smooth val="1"/>
          <c:extLst>
            <c:ext xmlns:c16="http://schemas.microsoft.com/office/drawing/2014/chart" uri="{C3380CC4-5D6E-409C-BE32-E72D297353CC}">
              <c16:uniqueId val="{00000002-B5A9-408D-9692-784022F24568}"/>
            </c:ext>
          </c:extLst>
        </c:ser>
        <c:ser>
          <c:idx val="3"/>
          <c:order val="3"/>
          <c:xVal>
            <c:numRef>
              <c:f>'Bölüm 4'!$F$3:$F$7</c:f>
              <c:numCache>
                <c:formatCode>General</c:formatCode>
                <c:ptCount val="5"/>
                <c:pt idx="0">
                  <c:v>0.28000000000000003</c:v>
                </c:pt>
                <c:pt idx="1">
                  <c:v>0.64</c:v>
                </c:pt>
                <c:pt idx="2">
                  <c:v>0.87</c:v>
                </c:pt>
                <c:pt idx="3">
                  <c:v>0.96</c:v>
                </c:pt>
                <c:pt idx="4">
                  <c:v>1</c:v>
                </c:pt>
              </c:numCache>
            </c:numRef>
          </c:xVal>
          <c:yVal>
            <c:numRef>
              <c:f>'Bölüm 4'!$B$3:$B$10</c:f>
              <c:numCache>
                <c:formatCode>General</c:formatCode>
                <c:ptCount val="8"/>
              </c:numCache>
            </c:numRef>
          </c:yVal>
          <c:smooth val="1"/>
          <c:extLst>
            <c:ext xmlns:c16="http://schemas.microsoft.com/office/drawing/2014/chart" uri="{C3380CC4-5D6E-409C-BE32-E72D297353CC}">
              <c16:uniqueId val="{00000003-B5A9-408D-9692-784022F24568}"/>
            </c:ext>
          </c:extLst>
        </c:ser>
        <c:ser>
          <c:idx val="4"/>
          <c:order val="4"/>
          <c:xVal>
            <c:numRef>
              <c:f>'Bölüm 4'!$F$3:$F$7</c:f>
              <c:numCache>
                <c:formatCode>General</c:formatCode>
                <c:ptCount val="5"/>
                <c:pt idx="0">
                  <c:v>0.28000000000000003</c:v>
                </c:pt>
                <c:pt idx="1">
                  <c:v>0.64</c:v>
                </c:pt>
                <c:pt idx="2">
                  <c:v>0.87</c:v>
                </c:pt>
                <c:pt idx="3">
                  <c:v>0.96</c:v>
                </c:pt>
                <c:pt idx="4">
                  <c:v>1</c:v>
                </c:pt>
              </c:numCache>
            </c:numRef>
          </c:xVal>
          <c:yVal>
            <c:numRef>
              <c:f>'Bölüm 4'!$C$3:$C$10</c:f>
              <c:numCache>
                <c:formatCode>General</c:formatCode>
                <c:ptCount val="8"/>
              </c:numCache>
            </c:numRef>
          </c:yVal>
          <c:smooth val="1"/>
          <c:extLst>
            <c:ext xmlns:c16="http://schemas.microsoft.com/office/drawing/2014/chart" uri="{C3380CC4-5D6E-409C-BE32-E72D297353CC}">
              <c16:uniqueId val="{00000004-B5A9-408D-9692-784022F24568}"/>
            </c:ext>
          </c:extLst>
        </c:ser>
        <c:dLbls>
          <c:showLegendKey val="0"/>
          <c:showVal val="0"/>
          <c:showCatName val="0"/>
          <c:showSerName val="0"/>
          <c:showPercent val="0"/>
          <c:showBubbleSize val="0"/>
        </c:dLbls>
        <c:axId val="36638080"/>
        <c:axId val="36648064"/>
      </c:scatterChart>
      <c:valAx>
        <c:axId val="36638080"/>
        <c:scaling>
          <c:orientation val="minMax"/>
        </c:scaling>
        <c:delete val="0"/>
        <c:axPos val="b"/>
        <c:numFmt formatCode="General" sourceLinked="1"/>
        <c:majorTickMark val="out"/>
        <c:minorTickMark val="none"/>
        <c:tickLblPos val="nextTo"/>
        <c:crossAx val="36648064"/>
        <c:crosses val="autoZero"/>
        <c:crossBetween val="midCat"/>
      </c:valAx>
      <c:valAx>
        <c:axId val="36648064"/>
        <c:scaling>
          <c:orientation val="minMax"/>
        </c:scaling>
        <c:delete val="0"/>
        <c:axPos val="l"/>
        <c:majorGridlines/>
        <c:numFmt formatCode="General" sourceLinked="1"/>
        <c:majorTickMark val="out"/>
        <c:minorTickMark val="none"/>
        <c:tickLblPos val="nextTo"/>
        <c:crossAx val="36638080"/>
        <c:crosses val="autoZero"/>
        <c:crossBetween val="midCat"/>
      </c:valAx>
    </c:plotArea>
    <c:legend>
      <c:legendPos val="r"/>
      <c:overlay val="0"/>
    </c:legend>
    <c:plotVisOnly val="1"/>
    <c:dispBlanksAs val="gap"/>
    <c:showDLblsOverMax val="0"/>
  </c:chart>
  <c:printSettings>
    <c:headerFooter/>
    <c:pageMargins b="0.75000000000000611" l="0.70000000000000062" r="0.70000000000000062" t="0.750000000000006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invertIfNegative val="0"/>
          <c:val>
            <c:numRef>
              <c:f>'Bölüm 4'!$B$22:$B$27</c:f>
              <c:numCache>
                <c:formatCode>General</c:formatCode>
                <c:ptCount val="6"/>
                <c:pt idx="0">
                  <c:v>0.1</c:v>
                </c:pt>
                <c:pt idx="1">
                  <c:v>0.14000000000000001</c:v>
                </c:pt>
                <c:pt idx="2">
                  <c:v>0.26</c:v>
                </c:pt>
                <c:pt idx="3">
                  <c:v>0.28000000000000003</c:v>
                </c:pt>
                <c:pt idx="4">
                  <c:v>0.15</c:v>
                </c:pt>
                <c:pt idx="5">
                  <c:v>7.0000000000000007E-2</c:v>
                </c:pt>
              </c:numCache>
            </c:numRef>
          </c:val>
          <c:extLst>
            <c:ext xmlns:c16="http://schemas.microsoft.com/office/drawing/2014/chart" uri="{C3380CC4-5D6E-409C-BE32-E72D297353CC}">
              <c16:uniqueId val="{00000000-C821-46FD-81E5-1485BEAD07EA}"/>
            </c:ext>
          </c:extLst>
        </c:ser>
        <c:dLbls>
          <c:showLegendKey val="0"/>
          <c:showVal val="0"/>
          <c:showCatName val="0"/>
          <c:showSerName val="0"/>
          <c:showPercent val="0"/>
          <c:showBubbleSize val="0"/>
        </c:dLbls>
        <c:gapWidth val="150"/>
        <c:axId val="36663680"/>
        <c:axId val="36665216"/>
      </c:barChart>
      <c:catAx>
        <c:axId val="36663680"/>
        <c:scaling>
          <c:orientation val="minMax"/>
        </c:scaling>
        <c:delete val="0"/>
        <c:axPos val="b"/>
        <c:majorTickMark val="out"/>
        <c:minorTickMark val="none"/>
        <c:tickLblPos val="nextTo"/>
        <c:crossAx val="36665216"/>
        <c:crosses val="autoZero"/>
        <c:auto val="1"/>
        <c:lblAlgn val="ctr"/>
        <c:lblOffset val="100"/>
        <c:noMultiLvlLbl val="0"/>
      </c:catAx>
      <c:valAx>
        <c:axId val="36665216"/>
        <c:scaling>
          <c:orientation val="minMax"/>
        </c:scaling>
        <c:delete val="0"/>
        <c:axPos val="l"/>
        <c:majorGridlines/>
        <c:numFmt formatCode="General" sourceLinked="1"/>
        <c:majorTickMark val="out"/>
        <c:minorTickMark val="none"/>
        <c:tickLblPos val="nextTo"/>
        <c:crossAx val="36663680"/>
        <c:crosses val="autoZero"/>
        <c:crossBetween val="between"/>
      </c:valAx>
    </c:plotArea>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invertIfNegative val="0"/>
          <c:val>
            <c:numRef>
              <c:f>'Bölüm 4'!$C$22:$C$27</c:f>
              <c:numCache>
                <c:formatCode>General</c:formatCode>
                <c:ptCount val="6"/>
                <c:pt idx="0">
                  <c:v>0.1</c:v>
                </c:pt>
                <c:pt idx="1">
                  <c:v>0.24000000000000002</c:v>
                </c:pt>
                <c:pt idx="2">
                  <c:v>0.5</c:v>
                </c:pt>
                <c:pt idx="3">
                  <c:v>0.78</c:v>
                </c:pt>
                <c:pt idx="4">
                  <c:v>0.93</c:v>
                </c:pt>
                <c:pt idx="5">
                  <c:v>1</c:v>
                </c:pt>
              </c:numCache>
            </c:numRef>
          </c:val>
          <c:extLst>
            <c:ext xmlns:c16="http://schemas.microsoft.com/office/drawing/2014/chart" uri="{C3380CC4-5D6E-409C-BE32-E72D297353CC}">
              <c16:uniqueId val="{00000000-2993-44F0-898E-79A87F66887D}"/>
            </c:ext>
          </c:extLst>
        </c:ser>
        <c:dLbls>
          <c:showLegendKey val="0"/>
          <c:showVal val="0"/>
          <c:showCatName val="0"/>
          <c:showSerName val="0"/>
          <c:showPercent val="0"/>
          <c:showBubbleSize val="0"/>
        </c:dLbls>
        <c:gapWidth val="150"/>
        <c:axId val="36692736"/>
        <c:axId val="36694272"/>
      </c:barChart>
      <c:catAx>
        <c:axId val="36692736"/>
        <c:scaling>
          <c:orientation val="minMax"/>
        </c:scaling>
        <c:delete val="0"/>
        <c:axPos val="b"/>
        <c:majorTickMark val="out"/>
        <c:minorTickMark val="none"/>
        <c:tickLblPos val="nextTo"/>
        <c:crossAx val="36694272"/>
        <c:crosses val="autoZero"/>
        <c:auto val="1"/>
        <c:lblAlgn val="ctr"/>
        <c:lblOffset val="100"/>
        <c:noMultiLvlLbl val="0"/>
      </c:catAx>
      <c:valAx>
        <c:axId val="36694272"/>
        <c:scaling>
          <c:orientation val="minMax"/>
        </c:scaling>
        <c:delete val="0"/>
        <c:axPos val="l"/>
        <c:majorGridlines/>
        <c:numFmt formatCode="General" sourceLinked="1"/>
        <c:majorTickMark val="out"/>
        <c:minorTickMark val="none"/>
        <c:tickLblPos val="nextTo"/>
        <c:crossAx val="36692736"/>
        <c:crosses val="autoZero"/>
        <c:crossBetween val="between"/>
      </c:valAx>
    </c:plotArea>
    <c:legend>
      <c:legendPos val="r"/>
      <c:overlay val="0"/>
    </c:legend>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invertIfNegative val="0"/>
          <c:val>
            <c:numRef>
              <c:f>'Bölüm 4'!$B$41:$B$47</c:f>
              <c:numCache>
                <c:formatCode>General</c:formatCode>
                <c:ptCount val="7"/>
                <c:pt idx="0">
                  <c:v>0.04</c:v>
                </c:pt>
                <c:pt idx="1">
                  <c:v>0.13</c:v>
                </c:pt>
                <c:pt idx="2">
                  <c:v>0.21</c:v>
                </c:pt>
                <c:pt idx="3">
                  <c:v>0.28999999999999998</c:v>
                </c:pt>
                <c:pt idx="4">
                  <c:v>0.2</c:v>
                </c:pt>
                <c:pt idx="5">
                  <c:v>0.1</c:v>
                </c:pt>
                <c:pt idx="6">
                  <c:v>0.03</c:v>
                </c:pt>
              </c:numCache>
            </c:numRef>
          </c:val>
          <c:extLst>
            <c:ext xmlns:c16="http://schemas.microsoft.com/office/drawing/2014/chart" uri="{C3380CC4-5D6E-409C-BE32-E72D297353CC}">
              <c16:uniqueId val="{00000000-A6C9-4552-B53A-D4E83E1183ED}"/>
            </c:ext>
          </c:extLst>
        </c:ser>
        <c:dLbls>
          <c:showLegendKey val="0"/>
          <c:showVal val="0"/>
          <c:showCatName val="0"/>
          <c:showSerName val="0"/>
          <c:showPercent val="0"/>
          <c:showBubbleSize val="0"/>
        </c:dLbls>
        <c:gapWidth val="150"/>
        <c:axId val="36709888"/>
        <c:axId val="36711424"/>
      </c:barChart>
      <c:catAx>
        <c:axId val="36709888"/>
        <c:scaling>
          <c:orientation val="minMax"/>
        </c:scaling>
        <c:delete val="0"/>
        <c:axPos val="b"/>
        <c:majorTickMark val="out"/>
        <c:minorTickMark val="none"/>
        <c:tickLblPos val="nextTo"/>
        <c:crossAx val="36711424"/>
        <c:crosses val="autoZero"/>
        <c:auto val="1"/>
        <c:lblAlgn val="ctr"/>
        <c:lblOffset val="100"/>
        <c:noMultiLvlLbl val="0"/>
      </c:catAx>
      <c:valAx>
        <c:axId val="36711424"/>
        <c:scaling>
          <c:orientation val="minMax"/>
        </c:scaling>
        <c:delete val="0"/>
        <c:axPos val="l"/>
        <c:majorGridlines/>
        <c:numFmt formatCode="General" sourceLinked="1"/>
        <c:majorTickMark val="out"/>
        <c:minorTickMark val="none"/>
        <c:tickLblPos val="nextTo"/>
        <c:crossAx val="36709888"/>
        <c:crosses val="autoZero"/>
        <c:crossBetween val="between"/>
      </c:valAx>
    </c:plotArea>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invertIfNegative val="0"/>
          <c:val>
            <c:numRef>
              <c:f>'Bölüm 4'!$C$41:$C$47</c:f>
              <c:numCache>
                <c:formatCode>General</c:formatCode>
                <c:ptCount val="7"/>
                <c:pt idx="0">
                  <c:v>0.04</c:v>
                </c:pt>
                <c:pt idx="1">
                  <c:v>0.17</c:v>
                </c:pt>
                <c:pt idx="2">
                  <c:v>0.38</c:v>
                </c:pt>
                <c:pt idx="3">
                  <c:v>0.66999999999999993</c:v>
                </c:pt>
                <c:pt idx="4">
                  <c:v>0.86999999999999988</c:v>
                </c:pt>
                <c:pt idx="5">
                  <c:v>0.96999999999999986</c:v>
                </c:pt>
                <c:pt idx="6">
                  <c:v>0.99999999999999989</c:v>
                </c:pt>
              </c:numCache>
            </c:numRef>
          </c:val>
          <c:extLst>
            <c:ext xmlns:c16="http://schemas.microsoft.com/office/drawing/2014/chart" uri="{C3380CC4-5D6E-409C-BE32-E72D297353CC}">
              <c16:uniqueId val="{00000000-CCC7-4A08-9290-7203CE1B56C1}"/>
            </c:ext>
          </c:extLst>
        </c:ser>
        <c:dLbls>
          <c:showLegendKey val="0"/>
          <c:showVal val="0"/>
          <c:showCatName val="0"/>
          <c:showSerName val="0"/>
          <c:showPercent val="0"/>
          <c:showBubbleSize val="0"/>
        </c:dLbls>
        <c:gapWidth val="150"/>
        <c:axId val="36751232"/>
        <c:axId val="36752768"/>
      </c:barChart>
      <c:catAx>
        <c:axId val="36751232"/>
        <c:scaling>
          <c:orientation val="minMax"/>
        </c:scaling>
        <c:delete val="0"/>
        <c:axPos val="b"/>
        <c:majorTickMark val="out"/>
        <c:minorTickMark val="none"/>
        <c:tickLblPos val="nextTo"/>
        <c:crossAx val="36752768"/>
        <c:crosses val="autoZero"/>
        <c:auto val="1"/>
        <c:lblAlgn val="ctr"/>
        <c:lblOffset val="100"/>
        <c:noMultiLvlLbl val="0"/>
      </c:catAx>
      <c:valAx>
        <c:axId val="36752768"/>
        <c:scaling>
          <c:orientation val="minMax"/>
        </c:scaling>
        <c:delete val="0"/>
        <c:axPos val="l"/>
        <c:majorGridlines/>
        <c:numFmt formatCode="General" sourceLinked="1"/>
        <c:majorTickMark val="out"/>
        <c:minorTickMark val="none"/>
        <c:tickLblPos val="nextTo"/>
        <c:crossAx val="36751232"/>
        <c:crosses val="autoZero"/>
        <c:crossBetween val="between"/>
      </c:valAx>
    </c:plotArea>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'Bölüm 4'!$B$63:$B$70</c:f>
              <c:numCache>
                <c:formatCode>General</c:formatCode>
                <c:ptCount val="8"/>
                <c:pt idx="0">
                  <c:v>0.02</c:v>
                </c:pt>
                <c:pt idx="1">
                  <c:v>0.12</c:v>
                </c:pt>
                <c:pt idx="2">
                  <c:v>0.23</c:v>
                </c:pt>
                <c:pt idx="3">
                  <c:v>0.31</c:v>
                </c:pt>
                <c:pt idx="4">
                  <c:v>0.19</c:v>
                </c:pt>
                <c:pt idx="5">
                  <c:v>0.08</c:v>
                </c:pt>
                <c:pt idx="6">
                  <c:v>0.03</c:v>
                </c:pt>
                <c:pt idx="7">
                  <c:v>0.02</c:v>
                </c:pt>
              </c:numCache>
            </c:numRef>
          </c:val>
          <c:extLst>
            <c:ext xmlns:c16="http://schemas.microsoft.com/office/drawing/2014/chart" uri="{C3380CC4-5D6E-409C-BE32-E72D297353CC}">
              <c16:uniqueId val="{00000000-BE1B-48D2-B3DF-E7F9DBE7D34D}"/>
            </c:ext>
          </c:extLst>
        </c:ser>
        <c:dLbls>
          <c:showLegendKey val="0"/>
          <c:showVal val="0"/>
          <c:showCatName val="0"/>
          <c:showSerName val="0"/>
          <c:showPercent val="0"/>
          <c:showBubbleSize val="0"/>
        </c:dLbls>
        <c:gapWidth val="150"/>
        <c:axId val="36378880"/>
        <c:axId val="36384768"/>
      </c:barChart>
      <c:catAx>
        <c:axId val="36378880"/>
        <c:scaling>
          <c:orientation val="minMax"/>
        </c:scaling>
        <c:delete val="0"/>
        <c:axPos val="b"/>
        <c:majorTickMark val="out"/>
        <c:minorTickMark val="none"/>
        <c:tickLblPos val="nextTo"/>
        <c:crossAx val="36384768"/>
        <c:crosses val="autoZero"/>
        <c:auto val="1"/>
        <c:lblAlgn val="ctr"/>
        <c:lblOffset val="100"/>
        <c:noMultiLvlLbl val="0"/>
      </c:catAx>
      <c:valAx>
        <c:axId val="36384768"/>
        <c:scaling>
          <c:orientation val="minMax"/>
        </c:scaling>
        <c:delete val="0"/>
        <c:axPos val="l"/>
        <c:majorGridlines/>
        <c:numFmt formatCode="General" sourceLinked="1"/>
        <c:majorTickMark val="out"/>
        <c:minorTickMark val="none"/>
        <c:tickLblPos val="nextTo"/>
        <c:crossAx val="36378880"/>
        <c:crosses val="autoZero"/>
        <c:crossBetween val="between"/>
      </c:valAx>
    </c:plotArea>
    <c:legend>
      <c:legendPos val="r"/>
      <c:overlay val="0"/>
    </c:legend>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'Bölüm 4'!$C$63:$C$70</c:f>
              <c:numCache>
                <c:formatCode>General</c:formatCode>
                <c:ptCount val="8"/>
                <c:pt idx="0">
                  <c:v>0.02</c:v>
                </c:pt>
                <c:pt idx="1">
                  <c:v>0.13999999999999999</c:v>
                </c:pt>
                <c:pt idx="2">
                  <c:v>0.37</c:v>
                </c:pt>
                <c:pt idx="3">
                  <c:v>0.67999999999999994</c:v>
                </c:pt>
                <c:pt idx="4">
                  <c:v>0.86999999999999988</c:v>
                </c:pt>
                <c:pt idx="5">
                  <c:v>0.94999999999999984</c:v>
                </c:pt>
                <c:pt idx="6">
                  <c:v>0.97999999999999987</c:v>
                </c:pt>
                <c:pt idx="7">
                  <c:v>0.99999999999999989</c:v>
                </c:pt>
              </c:numCache>
            </c:numRef>
          </c:val>
          <c:extLst>
            <c:ext xmlns:c16="http://schemas.microsoft.com/office/drawing/2014/chart" uri="{C3380CC4-5D6E-409C-BE32-E72D297353CC}">
              <c16:uniqueId val="{00000000-A69F-4C60-AFF9-A244D59E606E}"/>
            </c:ext>
          </c:extLst>
        </c:ser>
        <c:dLbls>
          <c:showLegendKey val="0"/>
          <c:showVal val="0"/>
          <c:showCatName val="0"/>
          <c:showSerName val="0"/>
          <c:showPercent val="0"/>
          <c:showBubbleSize val="0"/>
        </c:dLbls>
        <c:gapWidth val="150"/>
        <c:axId val="36396032"/>
        <c:axId val="36406016"/>
      </c:barChart>
      <c:catAx>
        <c:axId val="36396032"/>
        <c:scaling>
          <c:orientation val="minMax"/>
        </c:scaling>
        <c:delete val="0"/>
        <c:axPos val="b"/>
        <c:majorTickMark val="out"/>
        <c:minorTickMark val="none"/>
        <c:tickLblPos val="nextTo"/>
        <c:crossAx val="36406016"/>
        <c:crosses val="autoZero"/>
        <c:auto val="1"/>
        <c:lblAlgn val="ctr"/>
        <c:lblOffset val="100"/>
        <c:noMultiLvlLbl val="0"/>
      </c:catAx>
      <c:valAx>
        <c:axId val="36406016"/>
        <c:scaling>
          <c:orientation val="minMax"/>
        </c:scaling>
        <c:delete val="0"/>
        <c:axPos val="l"/>
        <c:majorGridlines/>
        <c:numFmt formatCode="General" sourceLinked="1"/>
        <c:majorTickMark val="out"/>
        <c:minorTickMark val="none"/>
        <c:tickLblPos val="nextTo"/>
        <c:crossAx val="36396032"/>
        <c:crosses val="autoZero"/>
        <c:crossBetween val="between"/>
      </c:valAx>
    </c:plotArea>
    <c:legend>
      <c:legendPos val="r"/>
      <c:overlay val="0"/>
    </c:legend>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'Bölüm 4'!$D$725:$D$729</c:f>
              <c:numCache>
                <c:formatCode>General</c:formatCode>
                <c:ptCount val="5"/>
                <c:pt idx="0">
                  <c:v>1.0000000000000003E-4</c:v>
                </c:pt>
                <c:pt idx="1">
                  <c:v>4.1000000000000003E-3</c:v>
                </c:pt>
                <c:pt idx="2">
                  <c:v>5.7100000000000005E-2</c:v>
                </c:pt>
                <c:pt idx="3">
                  <c:v>0.3231</c:v>
                </c:pt>
                <c:pt idx="4">
                  <c:v>0.61560000000000004</c:v>
                </c:pt>
              </c:numCache>
            </c:numRef>
          </c:val>
          <c:extLst>
            <c:ext xmlns:c16="http://schemas.microsoft.com/office/drawing/2014/chart" uri="{C3380CC4-5D6E-409C-BE32-E72D297353CC}">
              <c16:uniqueId val="{00000000-4242-437A-88E5-B0B1DBC85DBD}"/>
            </c:ext>
          </c:extLst>
        </c:ser>
        <c:dLbls>
          <c:showLegendKey val="0"/>
          <c:showVal val="0"/>
          <c:showCatName val="0"/>
          <c:showSerName val="0"/>
          <c:showPercent val="0"/>
          <c:showBubbleSize val="0"/>
        </c:dLbls>
        <c:gapWidth val="150"/>
        <c:axId val="36467456"/>
        <c:axId val="36468992"/>
      </c:barChart>
      <c:catAx>
        <c:axId val="36467456"/>
        <c:scaling>
          <c:orientation val="minMax"/>
        </c:scaling>
        <c:delete val="0"/>
        <c:axPos val="b"/>
        <c:majorTickMark val="out"/>
        <c:minorTickMark val="none"/>
        <c:tickLblPos val="nextTo"/>
        <c:crossAx val="36468992"/>
        <c:crosses val="autoZero"/>
        <c:auto val="1"/>
        <c:lblAlgn val="ctr"/>
        <c:lblOffset val="100"/>
        <c:noMultiLvlLbl val="0"/>
      </c:catAx>
      <c:valAx>
        <c:axId val="36468992"/>
        <c:scaling>
          <c:orientation val="minMax"/>
        </c:scaling>
        <c:delete val="0"/>
        <c:axPos val="l"/>
        <c:majorGridlines/>
        <c:numFmt formatCode="General" sourceLinked="1"/>
        <c:majorTickMark val="out"/>
        <c:minorTickMark val="none"/>
        <c:tickLblPos val="nextTo"/>
        <c:crossAx val="36467456"/>
        <c:crosses val="autoZero"/>
        <c:crossBetween val="between"/>
      </c:valAx>
    </c:plotArea>
    <c:plotVisOnly val="1"/>
    <c:dispBlanksAs val="gap"/>
    <c:showDLblsOverMax val="0"/>
  </c:chart>
  <c:printSettings>
    <c:headerFooter/>
    <c:pageMargins b="0.750000000000005" l="0.70000000000000062" r="0.70000000000000062" t="0.75000000000000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328845991025613"/>
          <c:y val="0.25318427177735203"/>
          <c:w val="0.55466852933705857"/>
          <c:h val="0.31472663794384792"/>
        </c:manualLayout>
      </c:layout>
      <c:barChart>
        <c:barDir val="col"/>
        <c:grouping val="clustered"/>
        <c:varyColors val="0"/>
        <c:ser>
          <c:idx val="0"/>
          <c:order val="0"/>
          <c:invertIfNegative val="0"/>
          <c:val>
            <c:numRef>
              <c:f>'Bölüm 6'!$D$23:$D$28</c:f>
              <c:numCache>
                <c:formatCode>General</c:formatCode>
                <c:ptCount val="6"/>
                <c:pt idx="0">
                  <c:v>30.849999999999994</c:v>
                </c:pt>
                <c:pt idx="1">
                  <c:v>15.870000000000005</c:v>
                </c:pt>
                <c:pt idx="2">
                  <c:v>6.6800000000000068</c:v>
                </c:pt>
                <c:pt idx="3">
                  <c:v>2.2800000000000011</c:v>
                </c:pt>
                <c:pt idx="4">
                  <c:v>0.62000000000000455</c:v>
                </c:pt>
                <c:pt idx="5">
                  <c:v>0.14000000000000057</c:v>
                </c:pt>
              </c:numCache>
            </c:numRef>
          </c:val>
          <c:extLst>
            <c:ext xmlns:c16="http://schemas.microsoft.com/office/drawing/2014/chart" uri="{C3380CC4-5D6E-409C-BE32-E72D297353CC}">
              <c16:uniqueId val="{00000000-DEFD-4902-BBAF-2AFC14EA70CC}"/>
            </c:ext>
          </c:extLst>
        </c:ser>
        <c:dLbls>
          <c:showLegendKey val="0"/>
          <c:showVal val="0"/>
          <c:showCatName val="0"/>
          <c:showSerName val="0"/>
          <c:showPercent val="0"/>
          <c:showBubbleSize val="0"/>
        </c:dLbls>
        <c:gapWidth val="150"/>
        <c:axId val="36768384"/>
        <c:axId val="36778368"/>
      </c:barChart>
      <c:catAx>
        <c:axId val="36768384"/>
        <c:scaling>
          <c:orientation val="minMax"/>
        </c:scaling>
        <c:delete val="0"/>
        <c:axPos val="b"/>
        <c:majorTickMark val="out"/>
        <c:minorTickMark val="none"/>
        <c:tickLblPos val="nextTo"/>
        <c:crossAx val="36778368"/>
        <c:crosses val="autoZero"/>
        <c:auto val="1"/>
        <c:lblAlgn val="ctr"/>
        <c:lblOffset val="100"/>
        <c:noMultiLvlLbl val="0"/>
      </c:catAx>
      <c:valAx>
        <c:axId val="36778368"/>
        <c:scaling>
          <c:orientation val="minMax"/>
        </c:scaling>
        <c:delete val="0"/>
        <c:axPos val="l"/>
        <c:majorGridlines/>
        <c:numFmt formatCode="General" sourceLinked="1"/>
        <c:majorTickMark val="out"/>
        <c:minorTickMark val="none"/>
        <c:tickLblPos val="nextTo"/>
        <c:crossAx val="36768384"/>
        <c:crosses val="autoZero"/>
        <c:crossBetween val="between"/>
      </c:valAx>
    </c:plotArea>
    <c:plotVisOnly val="1"/>
    <c:dispBlanksAs val="gap"/>
    <c:showDLblsOverMax val="0"/>
  </c:chart>
  <c:printSettings>
    <c:headerFooter/>
    <c:pageMargins b="0.75000000000000477" l="0.70000000000000062" r="0.70000000000000062" t="0.750000000000004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319425980844116E-2"/>
          <c:y val="9.4594945585831453E-2"/>
          <c:w val="0.87570621468927146"/>
          <c:h val="0.6335575093803244"/>
        </c:manualLayout>
      </c:layout>
      <c:lineChart>
        <c:grouping val="standard"/>
        <c:varyColors val="0"/>
        <c:ser>
          <c:idx val="0"/>
          <c:order val="0"/>
          <c:marker>
            <c:symbol val="none"/>
          </c:marker>
          <c:val>
            <c:numRef>
              <c:f>'Z TABLOSUNUN HAZIRLANIŞI'!$F$2:$F$802</c:f>
              <c:numCache>
                <c:formatCode>0.00000000000000000000</c:formatCode>
                <c:ptCount val="801"/>
                <c:pt idx="0">
                  <c:v>1.3383022576488537E-4</c:v>
                </c:pt>
                <c:pt idx="1">
                  <c:v>1.3928497646575994E-4</c:v>
                </c:pt>
                <c:pt idx="2">
                  <c:v>1.4494756042389106E-4</c:v>
                </c:pt>
                <c:pt idx="3">
                  <c:v>1.508252715505178E-4</c:v>
                </c:pt>
                <c:pt idx="4">
                  <c:v>1.5692563406553226E-4</c:v>
                </c:pt>
                <c:pt idx="5">
                  <c:v>1.6325640876624199E-4</c:v>
                </c:pt>
                <c:pt idx="6">
                  <c:v>1.6982559942934359E-4</c:v>
                </c:pt>
                <c:pt idx="7">
                  <c:v>1.7664145934757092E-4</c:v>
                </c:pt>
                <c:pt idx="8">
                  <c:v>1.8371249800245711E-4</c:v>
                </c:pt>
                <c:pt idx="9">
                  <c:v>1.9104748787459762E-4</c:v>
                </c:pt>
                <c:pt idx="10">
                  <c:v>1.9865547139277272E-4</c:v>
                </c:pt>
                <c:pt idx="11">
                  <c:v>2.0654576802322548E-4</c:v>
                </c:pt>
                <c:pt idx="12">
                  <c:v>2.1472798150036704E-4</c:v>
                </c:pt>
                <c:pt idx="13">
                  <c:v>2.2321200720010206E-4</c:v>
                </c:pt>
                <c:pt idx="14">
                  <c:v>2.3200803965694238E-4</c:v>
                </c:pt>
                <c:pt idx="15">
                  <c:v>2.4112658022599324E-4</c:v>
                </c:pt>
                <c:pt idx="16">
                  <c:v>2.5057844489086075E-4</c:v>
                </c:pt>
                <c:pt idx="17">
                  <c:v>2.6037477221844247E-4</c:v>
                </c:pt>
                <c:pt idx="18">
                  <c:v>2.70527031461521E-4</c:v>
                </c:pt>
                <c:pt idx="19">
                  <c:v>2.8104703080998632E-4</c:v>
                </c:pt>
                <c:pt idx="20">
                  <c:v>2.9194692579146027E-4</c:v>
                </c:pt>
                <c:pt idx="21">
                  <c:v>3.0323922782200417E-4</c:v>
                </c:pt>
                <c:pt idx="22">
                  <c:v>3.1493681290750979E-4</c:v>
                </c:pt>
                <c:pt idx="23">
                  <c:v>3.2705293049637498E-4</c:v>
                </c:pt>
                <c:pt idx="24">
                  <c:v>3.3960121248364182E-4</c:v>
                </c:pt>
                <c:pt idx="25">
                  <c:v>3.5259568236744541E-4</c:v>
                </c:pt>
                <c:pt idx="26">
                  <c:v>3.6605076455732168E-4</c:v>
                </c:pt>
                <c:pt idx="27">
                  <c:v>3.7998129383530694E-4</c:v>
                </c:pt>
                <c:pt idx="28">
                  <c:v>3.9440252496914186E-4</c:v>
                </c:pt>
                <c:pt idx="29">
                  <c:v>4.0933014247806321E-4</c:v>
                </c:pt>
                <c:pt idx="30">
                  <c:v>4.2478027055073593E-4</c:v>
                </c:pt>
                <c:pt idx="31">
                  <c:v>4.4076948311511571E-4</c:v>
                </c:pt>
                <c:pt idx="32">
                  <c:v>4.5731481405984016E-4</c:v>
                </c:pt>
                <c:pt idx="33">
                  <c:v>4.7443376760660297E-4</c:v>
                </c:pt>
                <c:pt idx="34">
                  <c:v>4.9214432883287567E-4</c:v>
                </c:pt>
                <c:pt idx="35">
                  <c:v>5.1046497434416652E-4</c:v>
                </c:pt>
                <c:pt idx="36">
                  <c:v>5.2941468309491589E-4</c:v>
                </c:pt>
                <c:pt idx="37">
                  <c:v>5.4901294735693875E-4</c:v>
                </c:pt>
                <c:pt idx="38">
                  <c:v>5.6927978383423234E-4</c:v>
                </c:pt>
                <c:pt idx="39">
                  <c:v>5.9023574492276414E-4</c:v>
                </c:pt>
                <c:pt idx="40">
                  <c:v>6.1190193011375076E-4</c:v>
                </c:pt>
                <c:pt idx="41">
                  <c:v>6.3429999753873451E-4</c:v>
                </c:pt>
                <c:pt idx="42">
                  <c:v>6.5745217565465314E-4</c:v>
                </c:pt>
                <c:pt idx="43">
                  <c:v>6.8138127506686729E-4</c:v>
                </c:pt>
                <c:pt idx="44">
                  <c:v>7.061107004880117E-4</c:v>
                </c:pt>
                <c:pt idx="45">
                  <c:v>7.3166446283028422E-4</c:v>
                </c:pt>
                <c:pt idx="46">
                  <c:v>7.5806719142868396E-4</c:v>
                </c:pt>
                <c:pt idx="47">
                  <c:v>7.8534414639244135E-4</c:v>
                </c:pt>
                <c:pt idx="48">
                  <c:v>8.1352123108178022E-4</c:v>
                </c:pt>
                <c:pt idx="49">
                  <c:v>8.4262500470687275E-4</c:v>
                </c:pt>
                <c:pt idx="50">
                  <c:v>8.7268269504572915E-4</c:v>
                </c:pt>
                <c:pt idx="51">
                  <c:v>9.0372221127749315E-4</c:v>
                </c:pt>
                <c:pt idx="52">
                  <c:v>9.3577215692744649E-4</c:v>
                </c:pt>
                <c:pt idx="53">
                  <c:v>9.688618429198123E-4</c:v>
                </c:pt>
                <c:pt idx="54">
                  <c:v>1.0030213007342029E-3</c:v>
                </c:pt>
                <c:pt idx="55">
                  <c:v>1.0382812956613752E-3</c:v>
                </c:pt>
                <c:pt idx="56">
                  <c:v>1.0746733401536977E-3</c:v>
                </c:pt>
                <c:pt idx="57">
                  <c:v>1.1122297072655273E-3</c:v>
                </c:pt>
                <c:pt idx="58">
                  <c:v>1.1509834441784435E-3</c:v>
                </c:pt>
                <c:pt idx="59">
                  <c:v>1.1909683858060776E-3</c:v>
                </c:pt>
                <c:pt idx="60">
                  <c:v>1.2322191684729772E-3</c:v>
                </c:pt>
                <c:pt idx="61">
                  <c:v>1.2747712436617907E-3</c:v>
                </c:pt>
                <c:pt idx="62">
                  <c:v>1.3186608918226966E-3</c:v>
                </c:pt>
                <c:pt idx="63">
                  <c:v>1.3639252362388588E-3</c:v>
                </c:pt>
                <c:pt idx="64">
                  <c:v>1.410602256941336E-3</c:v>
                </c:pt>
                <c:pt idx="65">
                  <c:v>1.458730804666698E-3</c:v>
                </c:pt>
                <c:pt idx="66">
                  <c:v>1.5083506148502565E-3</c:v>
                </c:pt>
                <c:pt idx="67">
                  <c:v>1.5595023216476403E-3</c:v>
                </c:pt>
                <c:pt idx="68">
                  <c:v>1.61222747197707E-3</c:v>
                </c:pt>
                <c:pt idx="69">
                  <c:v>1.6665685395744704E-3</c:v>
                </c:pt>
                <c:pt idx="70">
                  <c:v>1.7225689390536229E-3</c:v>
                </c:pt>
                <c:pt idx="71">
                  <c:v>1.7802730399617613E-3</c:v>
                </c:pt>
                <c:pt idx="72">
                  <c:v>1.8397261808242187E-3</c:v>
                </c:pt>
                <c:pt idx="73">
                  <c:v>1.9009746831659554E-3</c:v>
                </c:pt>
                <c:pt idx="74">
                  <c:v>1.9640658655042447E-3</c:v>
                </c:pt>
                <c:pt idx="75">
                  <c:v>2.0290480572996363E-3</c:v>
                </c:pt>
                <c:pt idx="76">
                  <c:v>2.0959706128578057E-3</c:v>
                </c:pt>
                <c:pt idx="77">
                  <c:v>2.1648839251709219E-3</c:v>
                </c:pt>
                <c:pt idx="78">
                  <c:v>2.2358394396883954E-3</c:v>
                </c:pt>
                <c:pt idx="79">
                  <c:v>2.3088896680063479E-3</c:v>
                </c:pt>
                <c:pt idx="80">
                  <c:v>2.3840882014646877E-3</c:v>
                </c:pt>
                <c:pt idx="81">
                  <c:v>2.4614897246405432E-3</c:v>
                </c:pt>
                <c:pt idx="82">
                  <c:v>2.5411500287263588E-3</c:v>
                </c:pt>
                <c:pt idx="83">
                  <c:v>2.6231260247808592E-3</c:v>
                </c:pt>
                <c:pt idx="84">
                  <c:v>2.707475756840529E-3</c:v>
                </c:pt>
                <c:pt idx="85">
                  <c:v>2.7942584148792707E-3</c:v>
                </c:pt>
                <c:pt idx="86">
                  <c:v>2.8835343476032575E-3</c:v>
                </c:pt>
                <c:pt idx="87">
                  <c:v>2.9753650750680657E-3</c:v>
                </c:pt>
                <c:pt idx="88">
                  <c:v>3.0698133011045495E-3</c:v>
                </c:pt>
                <c:pt idx="89">
                  <c:v>3.1669429255398842E-3</c:v>
                </c:pt>
                <c:pt idx="90">
                  <c:v>3.2668190561997183E-3</c:v>
                </c:pt>
                <c:pt idx="91">
                  <c:v>3.3695080206772744E-3</c:v>
                </c:pt>
                <c:pt idx="92">
                  <c:v>3.4750773778547215E-3</c:v>
                </c:pt>
                <c:pt idx="93">
                  <c:v>3.5835959291621419E-3</c:v>
                </c:pt>
                <c:pt idx="94">
                  <c:v>3.6951337295588085E-3</c:v>
                </c:pt>
                <c:pt idx="95">
                  <c:v>3.8097620982215767E-3</c:v>
                </c:pt>
                <c:pt idx="96">
                  <c:v>3.9275536289245386E-3</c:v>
                </c:pt>
                <c:pt idx="97">
                  <c:v>4.0485822000941845E-3</c:v>
                </c:pt>
                <c:pt idx="98">
                  <c:v>4.1729229845237107E-3</c:v>
                </c:pt>
                <c:pt idx="99">
                  <c:v>4.3006524587301869E-3</c:v>
                </c:pt>
                <c:pt idx="100">
                  <c:v>4.4318484119377395E-3</c:v>
                </c:pt>
                <c:pt idx="101">
                  <c:v>4.5665899546698729E-3</c:v>
                </c:pt>
                <c:pt idx="102">
                  <c:v>4.7049575269336999E-3</c:v>
                </c:pt>
                <c:pt idx="103">
                  <c:v>4.8470329059786595E-3</c:v>
                </c:pt>
                <c:pt idx="104">
                  <c:v>4.9928992136120788E-3</c:v>
                </c:pt>
                <c:pt idx="105">
                  <c:v>5.1426409230536331E-3</c:v>
                </c:pt>
                <c:pt idx="106">
                  <c:v>5.2963438653107087E-3</c:v>
                </c:pt>
                <c:pt idx="107">
                  <c:v>5.4540952350562262E-3</c:v>
                </c:pt>
                <c:pt idx="108">
                  <c:v>5.6159835959906394E-3</c:v>
                </c:pt>
                <c:pt idx="109">
                  <c:v>5.7820988856691381E-3</c:v>
                </c:pt>
                <c:pt idx="110">
                  <c:v>5.9525324197755095E-3</c:v>
                </c:pt>
                <c:pt idx="111">
                  <c:v>6.1273768958233343E-3</c:v>
                </c:pt>
                <c:pt idx="112">
                  <c:v>6.3067263962655632E-3</c:v>
                </c:pt>
                <c:pt idx="113">
                  <c:v>6.4906763909929896E-3</c:v>
                </c:pt>
                <c:pt idx="114">
                  <c:v>6.6793237392022359E-3</c:v>
                </c:pt>
                <c:pt idx="115">
                  <c:v>6.8727666906135809E-3</c:v>
                </c:pt>
                <c:pt idx="116">
                  <c:v>7.0711048860190471E-3</c:v>
                </c:pt>
                <c:pt idx="117">
                  <c:v>7.2744393571408045E-3</c:v>
                </c:pt>
                <c:pt idx="118">
                  <c:v>7.4828725257799255E-3</c:v>
                </c:pt>
                <c:pt idx="119">
                  <c:v>7.6965082022366791E-3</c:v>
                </c:pt>
                <c:pt idx="120">
                  <c:v>7.9154515829792989E-3</c:v>
                </c:pt>
                <c:pt idx="121">
                  <c:v>8.1398092475453449E-3</c:v>
                </c:pt>
                <c:pt idx="122">
                  <c:v>8.3696891546523322E-3</c:v>
                </c:pt>
                <c:pt idx="123">
                  <c:v>8.6052006374989533E-3</c:v>
                </c:pt>
                <c:pt idx="124">
                  <c:v>8.8464543982364925E-3</c:v>
                </c:pt>
                <c:pt idx="125">
                  <c:v>9.0935625015902983E-3</c:v>
                </c:pt>
                <c:pt idx="126">
                  <c:v>9.3466383676115185E-3</c:v>
                </c:pt>
                <c:pt idx="127">
                  <c:v>9.6057967635387945E-3</c:v>
                </c:pt>
                <c:pt idx="128">
                  <c:v>9.8711537947503338E-3</c:v>
                </c:pt>
                <c:pt idx="129">
                  <c:v>1.0142826894786249E-2</c:v>
                </c:pt>
                <c:pt idx="130">
                  <c:v>1.0420934814421754E-2</c:v>
                </c:pt>
                <c:pt idx="131">
                  <c:v>1.0705597609771316E-2</c:v>
                </c:pt>
                <c:pt idx="132">
                  <c:v>1.0996936629404699E-2</c:v>
                </c:pt>
                <c:pt idx="133">
                  <c:v>1.1295074500455226E-2</c:v>
                </c:pt>
                <c:pt idx="134">
                  <c:v>1.1600135113701645E-2</c:v>
                </c:pt>
                <c:pt idx="135">
                  <c:v>1.1912243607604227E-2</c:v>
                </c:pt>
                <c:pt idx="136">
                  <c:v>1.2231526351277009E-2</c:v>
                </c:pt>
                <c:pt idx="137">
                  <c:v>1.2558110926377212E-2</c:v>
                </c:pt>
                <c:pt idx="138">
                  <c:v>1.2892126107894301E-2</c:v>
                </c:pt>
                <c:pt idx="139">
                  <c:v>1.3233701843820328E-2</c:v>
                </c:pt>
                <c:pt idx="140">
                  <c:v>1.3582969233684565E-2</c:v>
                </c:pt>
                <c:pt idx="141">
                  <c:v>1.3940060505934734E-2</c:v>
                </c:pt>
                <c:pt idx="142">
                  <c:v>1.4305108994148592E-2</c:v>
                </c:pt>
                <c:pt idx="143">
                  <c:v>1.4678249112058905E-2</c:v>
                </c:pt>
                <c:pt idx="144">
                  <c:v>1.5059616327376306E-2</c:v>
                </c:pt>
                <c:pt idx="145">
                  <c:v>1.5449347134393989E-2</c:v>
                </c:pt>
                <c:pt idx="146">
                  <c:v>1.5847579025359621E-2</c:v>
                </c:pt>
                <c:pt idx="147">
                  <c:v>1.6254450460599264E-2</c:v>
                </c:pt>
                <c:pt idx="148">
                  <c:v>1.6670100837379791E-2</c:v>
                </c:pt>
                <c:pt idx="149">
                  <c:v>1.7094670457495655E-2</c:v>
                </c:pt>
                <c:pt idx="150">
                  <c:v>1.7528300493567215E-2</c:v>
                </c:pt>
                <c:pt idx="151">
                  <c:v>1.7971132954038297E-2</c:v>
                </c:pt>
                <c:pt idx="152">
                  <c:v>1.8423310646860671E-2</c:v>
                </c:pt>
                <c:pt idx="153">
                  <c:v>1.8884977141854779E-2</c:v>
                </c:pt>
                <c:pt idx="154">
                  <c:v>1.9356276731735528E-2</c:v>
                </c:pt>
                <c:pt idx="155">
                  <c:v>1.9837354391793866E-2</c:v>
                </c:pt>
                <c:pt idx="156">
                  <c:v>2.0328355738224339E-2</c:v>
                </c:pt>
                <c:pt idx="157">
                  <c:v>2.0829426985090681E-2</c:v>
                </c:pt>
                <c:pt idx="158">
                  <c:v>2.1340714899921231E-2</c:v>
                </c:pt>
                <c:pt idx="159">
                  <c:v>2.1862366757927812E-2</c:v>
                </c:pt>
                <c:pt idx="160">
                  <c:v>2.2394530294841279E-2</c:v>
                </c:pt>
                <c:pt idx="161">
                  <c:v>2.2937353658359066E-2</c:v>
                </c:pt>
                <c:pt idx="162">
                  <c:v>2.3490985358199677E-2</c:v>
                </c:pt>
                <c:pt idx="163">
                  <c:v>2.4055574214761271E-2</c:v>
                </c:pt>
                <c:pt idx="164">
                  <c:v>2.4631269306380758E-2</c:v>
                </c:pt>
                <c:pt idx="165">
                  <c:v>2.5218219915192019E-2</c:v>
                </c:pt>
                <c:pt idx="166">
                  <c:v>2.5816575471585276E-2</c:v>
                </c:pt>
                <c:pt idx="167">
                  <c:v>2.6426485497259258E-2</c:v>
                </c:pt>
                <c:pt idx="168">
                  <c:v>2.7048099546879287E-2</c:v>
                </c:pt>
                <c:pt idx="169">
                  <c:v>2.7681567148334012E-2</c:v>
                </c:pt>
                <c:pt idx="170">
                  <c:v>2.8327037741598581E-2</c:v>
                </c:pt>
                <c:pt idx="171">
                  <c:v>2.8984660616206762E-2</c:v>
                </c:pt>
                <c:pt idx="172">
                  <c:v>2.9654584847338555E-2</c:v>
                </c:pt>
                <c:pt idx="173">
                  <c:v>3.0336959230528874E-2</c:v>
                </c:pt>
                <c:pt idx="174">
                  <c:v>3.1031932215005435E-2</c:v>
                </c:pt>
                <c:pt idx="175">
                  <c:v>3.1739651835664566E-2</c:v>
                </c:pt>
                <c:pt idx="176">
                  <c:v>3.246026564369453E-2</c:v>
                </c:pt>
                <c:pt idx="177">
                  <c:v>3.3193920635858153E-2</c:v>
                </c:pt>
                <c:pt idx="178">
                  <c:v>3.3940763182446168E-2</c:v>
                </c:pt>
                <c:pt idx="179">
                  <c:v>3.4700938953915753E-2</c:v>
                </c:pt>
                <c:pt idx="180">
                  <c:v>3.5474592846228309E-2</c:v>
                </c:pt>
                <c:pt idx="181">
                  <c:v>3.6261868904903051E-2</c:v>
                </c:pt>
                <c:pt idx="182">
                  <c:v>3.7062910247803241E-2</c:v>
                </c:pt>
                <c:pt idx="183">
                  <c:v>3.7877858986674201E-2</c:v>
                </c:pt>
                <c:pt idx="184">
                  <c:v>3.8706856147452257E-2</c:v>
                </c:pt>
                <c:pt idx="185">
                  <c:v>3.9550041589366813E-2</c:v>
                </c:pt>
                <c:pt idx="186">
                  <c:v>4.0407553922856845E-2</c:v>
                </c:pt>
                <c:pt idx="187">
                  <c:v>4.1279530426326899E-2</c:v>
                </c:pt>
                <c:pt idx="188">
                  <c:v>4.2166106961766738E-2</c:v>
                </c:pt>
                <c:pt idx="189">
                  <c:v>4.3067417889262105E-2</c:v>
                </c:pt>
                <c:pt idx="190">
                  <c:v>4.39835959804235E-2</c:v>
                </c:pt>
                <c:pt idx="191">
                  <c:v>4.4914772330763353E-2</c:v>
                </c:pt>
                <c:pt idx="192">
                  <c:v>4.5861076271051078E-2</c:v>
                </c:pt>
                <c:pt idx="193">
                  <c:v>4.6822635277679298E-2</c:v>
                </c:pt>
                <c:pt idx="194">
                  <c:v>4.7799574882073086E-2</c:v>
                </c:pt>
                <c:pt idx="195">
                  <c:v>4.8792018579178781E-2</c:v>
                </c:pt>
                <c:pt idx="196">
                  <c:v>4.9800087735066702E-2</c:v>
                </c:pt>
                <c:pt idx="197">
                  <c:v>5.0823901493687033E-2</c:v>
                </c:pt>
                <c:pt idx="198">
                  <c:v>5.1863576682816367E-2</c:v>
                </c:pt>
                <c:pt idx="199">
                  <c:v>5.291922771923601E-2</c:v>
                </c:pt>
                <c:pt idx="200">
                  <c:v>5.399096651318374E-2</c:v>
                </c:pt>
                <c:pt idx="201">
                  <c:v>5.5078902372121388E-2</c:v>
                </c:pt>
                <c:pt idx="202">
                  <c:v>5.6183141903863587E-2</c:v>
                </c:pt>
                <c:pt idx="203">
                  <c:v>5.7303788919112628E-2</c:v>
                </c:pt>
                <c:pt idx="204">
                  <c:v>5.844094433344689E-2</c:v>
                </c:pt>
                <c:pt idx="205">
                  <c:v>5.9594706068811433E-2</c:v>
                </c:pt>
                <c:pt idx="206">
                  <c:v>6.0765168954560071E-2</c:v>
                </c:pt>
                <c:pt idx="207">
                  <c:v>6.195242462810039E-2</c:v>
                </c:pt>
                <c:pt idx="208">
                  <c:v>6.3156561435193811E-2</c:v>
                </c:pt>
                <c:pt idx="209">
                  <c:v>6.4377664329964418E-2</c:v>
                </c:pt>
                <c:pt idx="210">
                  <c:v>6.5615814774671599E-2</c:v>
                </c:pt>
                <c:pt idx="211">
                  <c:v>6.6871090639302078E-2</c:v>
                </c:pt>
                <c:pt idx="212">
                  <c:v>6.8143566101038153E-2</c:v>
                </c:pt>
                <c:pt idx="213">
                  <c:v>6.9433311543667706E-2</c:v>
                </c:pt>
                <c:pt idx="214">
                  <c:v>7.0740393456976802E-2</c:v>
                </c:pt>
                <c:pt idx="215">
                  <c:v>7.2064874336211338E-2</c:v>
                </c:pt>
                <c:pt idx="216">
                  <c:v>7.3406812581650133E-2</c:v>
                </c:pt>
                <c:pt idx="217">
                  <c:v>7.4766262398360775E-2</c:v>
                </c:pt>
                <c:pt idx="218">
                  <c:v>7.6143273696200386E-2</c:v>
                </c:pt>
                <c:pt idx="219">
                  <c:v>7.7537891990126964E-2</c:v>
                </c:pt>
                <c:pt idx="220">
                  <c:v>7.8950158300887058E-2</c:v>
                </c:pt>
                <c:pt idx="221">
                  <c:v>8.0380109056146967E-2</c:v>
                </c:pt>
                <c:pt idx="222">
                  <c:v>8.1827775992135532E-2</c:v>
                </c:pt>
                <c:pt idx="223">
                  <c:v>8.3293186055867094E-2</c:v>
                </c:pt>
                <c:pt idx="224">
                  <c:v>8.4776361308014775E-2</c:v>
                </c:pt>
                <c:pt idx="225">
                  <c:v>8.6277318826503968E-2</c:v>
                </c:pt>
                <c:pt idx="226">
                  <c:v>8.7796070610898003E-2</c:v>
                </c:pt>
                <c:pt idx="227">
                  <c:v>8.933262348764727E-2</c:v>
                </c:pt>
                <c:pt idx="228">
                  <c:v>9.0886979016275071E-2</c:v>
                </c:pt>
                <c:pt idx="229">
                  <c:v>9.2459133396572774E-2</c:v>
                </c:pt>
                <c:pt idx="230">
                  <c:v>9.404907737687894E-2</c:v>
                </c:pt>
                <c:pt idx="231">
                  <c:v>9.5656796163515925E-2</c:v>
                </c:pt>
                <c:pt idx="232">
                  <c:v>9.7282269331459351E-2</c:v>
                </c:pt>
                <c:pt idx="233">
                  <c:v>9.8925470736315441E-2</c:v>
                </c:pt>
                <c:pt idx="234">
                  <c:v>0.1005863684276822</c:v>
                </c:pt>
                <c:pt idx="235">
                  <c:v>0.10226492456396954</c:v>
                </c:pt>
                <c:pt idx="236">
                  <c:v>0.10396109532875566</c:v>
                </c:pt>
                <c:pt idx="237">
                  <c:v>0.10567483084875499</c:v>
                </c:pt>
                <c:pt idx="238">
                  <c:v>0.10740607511347511</c:v>
                </c:pt>
                <c:pt idx="239">
                  <c:v>0.10915476589663858</c:v>
                </c:pt>
                <c:pt idx="240">
                  <c:v>0.11092083467944666</c:v>
                </c:pt>
                <c:pt idx="241">
                  <c:v>0.11270420657576159</c:v>
                </c:pt>
                <c:pt idx="242">
                  <c:v>0.11450480025928333</c:v>
                </c:pt>
                <c:pt idx="243">
                  <c:v>0.11632252789279797</c:v>
                </c:pt>
                <c:pt idx="244">
                  <c:v>0.11815729505957306</c:v>
                </c:pt>
                <c:pt idx="245">
                  <c:v>0.1200090006969763</c:v>
                </c:pt>
                <c:pt idx="246">
                  <c:v>0.12187753703239239</c:v>
                </c:pt>
                <c:pt idx="247">
                  <c:v>0.12376278952151368</c:v>
                </c:pt>
                <c:pt idx="248">
                  <c:v>0.1256646367890786</c:v>
                </c:pt>
                <c:pt idx="249">
                  <c:v>0.12758295057213223</c:v>
                </c:pt>
                <c:pt idx="250">
                  <c:v>0.12951759566588203</c:v>
                </c:pt>
                <c:pt idx="251">
                  <c:v>0.13146842987222127</c:v>
                </c:pt>
                <c:pt idx="252">
                  <c:v>0.13343530395099243</c:v>
                </c:pt>
                <c:pt idx="253">
                  <c:v>0.13541806157406133</c:v>
                </c:pt>
                <c:pt idx="254">
                  <c:v>0.13741653928227174</c:v>
                </c:pt>
                <c:pt idx="255">
                  <c:v>0.13943056644535018</c:v>
                </c:pt>
                <c:pt idx="256">
                  <c:v>0.14145996522482862</c:v>
                </c:pt>
                <c:pt idx="257">
                  <c:v>0.14350455054005218</c:v>
                </c:pt>
                <c:pt idx="258">
                  <c:v>0.14556413003733723</c:v>
                </c:pt>
                <c:pt idx="259">
                  <c:v>0.14763850406234322</c:v>
                </c:pt>
                <c:pt idx="260">
                  <c:v>0.14972746563573228</c:v>
                </c:pt>
                <c:pt idx="261">
                  <c:v>0.151830800432149</c:v>
                </c:pt>
                <c:pt idx="262">
                  <c:v>0.15394828676262096</c:v>
                </c:pt>
                <c:pt idx="263">
                  <c:v>0.15607969556040802</c:v>
                </c:pt>
                <c:pt idx="264">
                  <c:v>0.15822479037037013</c:v>
                </c:pt>
                <c:pt idx="265">
                  <c:v>0.16038332734190658</c:v>
                </c:pt>
                <c:pt idx="266">
                  <c:v>0.16255505522552108</c:v>
                </c:pt>
                <c:pt idx="267">
                  <c:v>0.16473971537306367</c:v>
                </c:pt>
                <c:pt idx="268">
                  <c:v>0.1669370417417006</c:v>
                </c:pt>
                <c:pt idx="269">
                  <c:v>0.16914676090165912</c:v>
                </c:pt>
                <c:pt idx="270">
                  <c:v>0.17136859204779401</c:v>
                </c:pt>
                <c:pt idx="271">
                  <c:v>0.17360224701501956</c:v>
                </c:pt>
                <c:pt idx="272">
                  <c:v>0.17584743029764888</c:v>
                </c:pt>
                <c:pt idx="273">
                  <c:v>0.17810383907268001</c:v>
                </c:pt>
                <c:pt idx="274">
                  <c:v>0.1803711632270667</c:v>
                </c:pt>
                <c:pt idx="275">
                  <c:v>0.18264908538900823</c:v>
                </c:pt>
                <c:pt idx="276">
                  <c:v>0.18493728096329157</c:v>
                </c:pt>
                <c:pt idx="277">
                  <c:v>0.18723541817071573</c:v>
                </c:pt>
                <c:pt idx="278">
                  <c:v>0.18954315809162636</c:v>
                </c:pt>
                <c:pt idx="279">
                  <c:v>0.19186015471358545</c:v>
                </c:pt>
                <c:pt idx="280">
                  <c:v>0.19418605498319899</c:v>
                </c:pt>
                <c:pt idx="281">
                  <c:v>0.19652049886212253</c:v>
                </c:pt>
                <c:pt idx="282">
                  <c:v>0.19886311938726184</c:v>
                </c:pt>
                <c:pt idx="283">
                  <c:v>0.20121354273518324</c:v>
                </c:pt>
                <c:pt idx="284">
                  <c:v>0.20357138829074525</c:v>
                </c:pt>
                <c:pt idx="285">
                  <c:v>0.20593626871996051</c:v>
                </c:pt>
                <c:pt idx="286">
                  <c:v>0.2083077900470941</c:v>
                </c:pt>
                <c:pt idx="287">
                  <c:v>0.21068555173600098</c:v>
                </c:pt>
                <c:pt idx="288">
                  <c:v>0.21306914677570354</c:v>
                </c:pt>
                <c:pt idx="289">
                  <c:v>0.21545816177020538</c:v>
                </c:pt>
                <c:pt idx="290">
                  <c:v>0.21785217703253615</c:v>
                </c:pt>
                <c:pt idx="291">
                  <c:v>0.22025076668301888</c:v>
                </c:pt>
                <c:pt idx="292">
                  <c:v>0.2226534987517467</c:v>
                </c:pt>
                <c:pt idx="293">
                  <c:v>0.22505993528525522</c:v>
                </c:pt>
                <c:pt idx="294">
                  <c:v>0.22746963245737142</c:v>
                </c:pt>
                <c:pt idx="295">
                  <c:v>0.22988214068421856</c:v>
                </c:pt>
                <c:pt idx="296">
                  <c:v>0.23229700474335171</c:v>
                </c:pt>
                <c:pt idx="297">
                  <c:v>0.2347137638969973</c:v>
                </c:pt>
                <c:pt idx="298">
                  <c:v>0.23713195201936507</c:v>
                </c:pt>
                <c:pt idx="299">
                  <c:v>0.23955109772799887</c:v>
                </c:pt>
                <c:pt idx="300">
                  <c:v>0.24197072451912885</c:v>
                </c:pt>
                <c:pt idx="301">
                  <c:v>0.24439035090698505</c:v>
                </c:pt>
                <c:pt idx="302">
                  <c:v>0.24680949056702819</c:v>
                </c:pt>
                <c:pt idx="303">
                  <c:v>0.24922765248305143</c:v>
                </c:pt>
                <c:pt idx="304">
                  <c:v>0.25164434109810263</c:v>
                </c:pt>
                <c:pt idx="305">
                  <c:v>0.25405905646917454</c:v>
                </c:pt>
                <c:pt idx="306">
                  <c:v>0.2564712944256059</c:v>
                </c:pt>
                <c:pt idx="307">
                  <c:v>0.25888054673113442</c:v>
                </c:pt>
                <c:pt idx="308">
                  <c:v>0.26128630124953872</c:v>
                </c:pt>
                <c:pt idx="309">
                  <c:v>0.26368804211380376</c:v>
                </c:pt>
                <c:pt idx="310">
                  <c:v>0.26608524989874049</c:v>
                </c:pt>
                <c:pt idx="311">
                  <c:v>0.26847740179698804</c:v>
                </c:pt>
                <c:pt idx="312">
                  <c:v>0.27086397179832372</c:v>
                </c:pt>
                <c:pt idx="313">
                  <c:v>0.27324443087220202</c:v>
                </c:pt>
                <c:pt idx="314">
                  <c:v>0.27561824715344246</c:v>
                </c:pt>
                <c:pt idx="315">
                  <c:v>0.27798488613098227</c:v>
                </c:pt>
                <c:pt idx="316">
                  <c:v>0.28034381083960641</c:v>
                </c:pt>
                <c:pt idx="317">
                  <c:v>0.28269448205456615</c:v>
                </c:pt>
                <c:pt idx="318">
                  <c:v>0.28503635848899322</c:v>
                </c:pt>
                <c:pt idx="319">
                  <c:v>0.28736889699401436</c:v>
                </c:pt>
                <c:pt idx="320">
                  <c:v>0.28969155276146885</c:v>
                </c:pt>
                <c:pt idx="321">
                  <c:v>0.29200377952912759</c:v>
                </c:pt>
                <c:pt idx="322">
                  <c:v>0.29430502978831136</c:v>
                </c:pt>
                <c:pt idx="323">
                  <c:v>0.29659475499380206</c:v>
                </c:pt>
                <c:pt idx="324">
                  <c:v>0.29887240577593915</c:v>
                </c:pt>
                <c:pt idx="325">
                  <c:v>0.30113743215479088</c:v>
                </c:pt>
                <c:pt idx="326">
                  <c:v>0.30338928375628665</c:v>
                </c:pt>
                <c:pt idx="327">
                  <c:v>0.30562741003019656</c:v>
                </c:pt>
                <c:pt idx="328">
                  <c:v>0.30785126046983963</c:v>
                </c:pt>
                <c:pt idx="329">
                  <c:v>0.31006028483340292</c:v>
                </c:pt>
                <c:pt idx="330">
                  <c:v>0.31225393336674817</c:v>
                </c:pt>
                <c:pt idx="331">
                  <c:v>0.3144316570275843</c:v>
                </c:pt>
                <c:pt idx="332">
                  <c:v>0.31659290771087989</c:v>
                </c:pt>
                <c:pt idx="333">
                  <c:v>0.3187371384753887</c:v>
                </c:pt>
                <c:pt idx="334">
                  <c:v>0.32086380377115981</c:v>
                </c:pt>
                <c:pt idx="335">
                  <c:v>0.32297235966790172</c:v>
                </c:pt>
                <c:pt idx="336">
                  <c:v>0.32506226408406969</c:v>
                </c:pt>
                <c:pt idx="337">
                  <c:v>0.32713297701654215</c:v>
                </c:pt>
                <c:pt idx="338">
                  <c:v>0.32918396077075257</c:v>
                </c:pt>
                <c:pt idx="339">
                  <c:v>0.33121468019114081</c:v>
                </c:pt>
                <c:pt idx="340">
                  <c:v>0.33322460289178762</c:v>
                </c:pt>
                <c:pt idx="341">
                  <c:v>0.33521319948709422</c:v>
                </c:pt>
                <c:pt idx="342">
                  <c:v>0.33717994382236882</c:v>
                </c:pt>
                <c:pt idx="343">
                  <c:v>0.33912431320418063</c:v>
                </c:pt>
                <c:pt idx="344">
                  <c:v>0.34104578863034107</c:v>
                </c:pt>
                <c:pt idx="345">
                  <c:v>0.34294385501937258</c:v>
                </c:pt>
                <c:pt idx="346">
                  <c:v>0.34481800143932217</c:v>
                </c:pt>
                <c:pt idx="347">
                  <c:v>0.34666772133578061</c:v>
                </c:pt>
                <c:pt idx="348">
                  <c:v>0.34849251275896381</c:v>
                </c:pt>
                <c:pt idx="349">
                  <c:v>0.35029187858971528</c:v>
                </c:pt>
                <c:pt idx="350">
                  <c:v>0.35206532676428909</c:v>
                </c:pt>
                <c:pt idx="351">
                  <c:v>0.35381237049776948</c:v>
                </c:pt>
                <c:pt idx="352">
                  <c:v>0.35553252850598704</c:v>
                </c:pt>
                <c:pt idx="353">
                  <c:v>0.35722532522579092</c:v>
                </c:pt>
                <c:pt idx="354">
                  <c:v>0.35889029103353487</c:v>
                </c:pt>
                <c:pt idx="355">
                  <c:v>0.3605269624616384</c:v>
                </c:pt>
                <c:pt idx="356">
                  <c:v>0.36213488241308284</c:v>
                </c:pt>
                <c:pt idx="357">
                  <c:v>0.3637136003737042</c:v>
                </c:pt>
                <c:pt idx="358">
                  <c:v>0.36526267262214485</c:v>
                </c:pt>
                <c:pt idx="359">
                  <c:v>0.36678166243732724</c:v>
                </c:pt>
                <c:pt idx="360">
                  <c:v>0.36827014030331462</c:v>
                </c:pt>
                <c:pt idx="361">
                  <c:v>0.36972768411142387</c:v>
                </c:pt>
                <c:pt idx="362">
                  <c:v>0.37115387935945771</c:v>
                </c:pt>
                <c:pt idx="363">
                  <c:v>0.37254831934792532</c:v>
                </c:pt>
                <c:pt idx="364">
                  <c:v>0.37391060537312043</c:v>
                </c:pt>
                <c:pt idx="365">
                  <c:v>0.37524034691693015</c:v>
                </c:pt>
                <c:pt idx="366">
                  <c:v>0.37653716183324643</c:v>
                </c:pt>
                <c:pt idx="367">
                  <c:v>0.37780067653085725</c:v>
                </c:pt>
                <c:pt idx="368">
                  <c:v>0.37903052615269456</c:v>
                </c:pt>
                <c:pt idx="369">
                  <c:v>0.38022635475131794</c:v>
                </c:pt>
                <c:pt idx="370">
                  <c:v>0.38138781546051737</c:v>
                </c:pt>
                <c:pt idx="371">
                  <c:v>0.3825145706629175</c:v>
                </c:pt>
                <c:pt idx="372">
                  <c:v>0.38360629215347219</c:v>
                </c:pt>
                <c:pt idx="373">
                  <c:v>0.38466266129873666</c:v>
                </c:pt>
                <c:pt idx="374">
                  <c:v>0.38568336919181018</c:v>
                </c:pt>
                <c:pt idx="375">
                  <c:v>0.38666811680284352</c:v>
                </c:pt>
                <c:pt idx="376">
                  <c:v>0.38761661512500867</c:v>
                </c:pt>
                <c:pt idx="377">
                  <c:v>0.38852858531583062</c:v>
                </c:pt>
                <c:pt idx="378">
                  <c:v>0.38940375883378536</c:v>
                </c:pt>
                <c:pt idx="379">
                  <c:v>0.39024187757006945</c:v>
                </c:pt>
                <c:pt idx="380">
                  <c:v>0.39104269397545127</c:v>
                </c:pt>
                <c:pt idx="381">
                  <c:v>0.39180597118211674</c:v>
                </c:pt>
                <c:pt idx="382">
                  <c:v>0.39253148312042474</c:v>
                </c:pt>
                <c:pt idx="383">
                  <c:v>0.39321901463049325</c:v>
                </c:pt>
                <c:pt idx="384">
                  <c:v>0.39386836156853711</c:v>
                </c:pt>
                <c:pt idx="385">
                  <c:v>0.39447933090788545</c:v>
                </c:pt>
                <c:pt idx="386">
                  <c:v>0.39505174083460798</c:v>
                </c:pt>
                <c:pt idx="387">
                  <c:v>0.39558542083768439</c:v>
                </c:pt>
                <c:pt idx="388">
                  <c:v>0.39608021179365327</c:v>
                </c:pt>
                <c:pt idx="389">
                  <c:v>0.3965359660456832</c:v>
                </c:pt>
                <c:pt idx="390">
                  <c:v>0.39695254747700942</c:v>
                </c:pt>
                <c:pt idx="391">
                  <c:v>0.39732983157868623</c:v>
                </c:pt>
                <c:pt idx="392">
                  <c:v>0.39766770551160702</c:v>
                </c:pt>
                <c:pt idx="393">
                  <c:v>0.39796606816274938</c:v>
                </c:pt>
                <c:pt idx="394">
                  <c:v>0.39822483019560551</c:v>
                </c:pt>
                <c:pt idx="395">
                  <c:v>0.39844391409476287</c:v>
                </c:pt>
                <c:pt idx="396">
                  <c:v>0.39862325420460409</c:v>
                </c:pt>
                <c:pt idx="397">
                  <c:v>0.39876279676209903</c:v>
                </c:pt>
                <c:pt idx="398">
                  <c:v>0.39886249992366563</c:v>
                </c:pt>
                <c:pt idx="399">
                  <c:v>0.39892233378608194</c:v>
                </c:pt>
                <c:pt idx="400">
                  <c:v>0.3989422804014327</c:v>
                </c:pt>
                <c:pt idx="401">
                  <c:v>0.39892233378608216</c:v>
                </c:pt>
                <c:pt idx="402">
                  <c:v>0.39886249992366613</c:v>
                </c:pt>
                <c:pt idx="403">
                  <c:v>0.39876279676209969</c:v>
                </c:pt>
                <c:pt idx="404">
                  <c:v>0.39862325420460504</c:v>
                </c:pt>
                <c:pt idx="405">
                  <c:v>0.39844391409476404</c:v>
                </c:pt>
                <c:pt idx="406">
                  <c:v>0.39822483019560695</c:v>
                </c:pt>
                <c:pt idx="407">
                  <c:v>0.39796606816275104</c:v>
                </c:pt>
                <c:pt idx="408">
                  <c:v>0.39766770551160885</c:v>
                </c:pt>
                <c:pt idx="409">
                  <c:v>0.39732983157868834</c:v>
                </c:pt>
                <c:pt idx="410">
                  <c:v>0.39695254747701181</c:v>
                </c:pt>
                <c:pt idx="411">
                  <c:v>0.39653596604568575</c:v>
                </c:pt>
                <c:pt idx="412">
                  <c:v>0.3960802117936561</c:v>
                </c:pt>
                <c:pt idx="413">
                  <c:v>0.39558542083768738</c:v>
                </c:pt>
                <c:pt idx="414">
                  <c:v>0.39505174083461125</c:v>
                </c:pt>
                <c:pt idx="415">
                  <c:v>0.39447933090788895</c:v>
                </c:pt>
                <c:pt idx="416">
                  <c:v>0.39386836156854083</c:v>
                </c:pt>
                <c:pt idx="417">
                  <c:v>0.39321901463049719</c:v>
                </c:pt>
                <c:pt idx="418">
                  <c:v>0.3925314831204289</c:v>
                </c:pt>
                <c:pt idx="419">
                  <c:v>0.39180597118212113</c:v>
                </c:pt>
                <c:pt idx="420">
                  <c:v>0.39104269397545588</c:v>
                </c:pt>
                <c:pt idx="421">
                  <c:v>0.39024187757007428</c:v>
                </c:pt>
                <c:pt idx="422">
                  <c:v>0.38940375883379041</c:v>
                </c:pt>
                <c:pt idx="423">
                  <c:v>0.38852858531583589</c:v>
                </c:pt>
                <c:pt idx="424">
                  <c:v>0.38761661512501416</c:v>
                </c:pt>
                <c:pt idx="425">
                  <c:v>0.38666811680284924</c:v>
                </c:pt>
                <c:pt idx="426">
                  <c:v>0.38568336919181612</c:v>
                </c:pt>
                <c:pt idx="427">
                  <c:v>0.38466266129874283</c:v>
                </c:pt>
                <c:pt idx="428">
                  <c:v>0.38360629215347858</c:v>
                </c:pt>
                <c:pt idx="429">
                  <c:v>0.38251457066292405</c:v>
                </c:pt>
                <c:pt idx="430">
                  <c:v>0.38138781546052414</c:v>
                </c:pt>
                <c:pt idx="431">
                  <c:v>0.38022635475132494</c:v>
                </c:pt>
                <c:pt idx="432">
                  <c:v>0.37903052615270166</c:v>
                </c:pt>
                <c:pt idx="433">
                  <c:v>0.37780067653086458</c:v>
                </c:pt>
                <c:pt idx="434">
                  <c:v>0.37653716183325392</c:v>
                </c:pt>
                <c:pt idx="435">
                  <c:v>0.37524034691693792</c:v>
                </c:pt>
                <c:pt idx="436">
                  <c:v>0.37391060537312842</c:v>
                </c:pt>
                <c:pt idx="437">
                  <c:v>0.37254831934793342</c:v>
                </c:pt>
                <c:pt idx="438">
                  <c:v>0.37115387935946603</c:v>
                </c:pt>
                <c:pt idx="439">
                  <c:v>0.36972768411143236</c:v>
                </c:pt>
                <c:pt idx="440">
                  <c:v>0.36827014030332333</c:v>
                </c:pt>
                <c:pt idx="441">
                  <c:v>0.36678166243733612</c:v>
                </c:pt>
                <c:pt idx="442">
                  <c:v>0.36526267262215389</c:v>
                </c:pt>
                <c:pt idx="443">
                  <c:v>0.36371360037371342</c:v>
                </c:pt>
                <c:pt idx="444">
                  <c:v>0.36213488241309222</c:v>
                </c:pt>
                <c:pt idx="445">
                  <c:v>0.36052696246164795</c:v>
                </c:pt>
                <c:pt idx="446">
                  <c:v>0.35889029103354464</c:v>
                </c:pt>
                <c:pt idx="447">
                  <c:v>0.35722532522580086</c:v>
                </c:pt>
                <c:pt idx="448">
                  <c:v>0.35553252850599709</c:v>
                </c:pt>
                <c:pt idx="449">
                  <c:v>0.35381237049777969</c:v>
                </c:pt>
                <c:pt idx="450">
                  <c:v>0.35206532676429952</c:v>
                </c:pt>
                <c:pt idx="451">
                  <c:v>0.35029187858972582</c:v>
                </c:pt>
                <c:pt idx="452">
                  <c:v>0.34849251275897447</c:v>
                </c:pt>
                <c:pt idx="453">
                  <c:v>0.34666772133579166</c:v>
                </c:pt>
                <c:pt idx="454">
                  <c:v>0.34481800143933333</c:v>
                </c:pt>
                <c:pt idx="455">
                  <c:v>0.3429438550193839</c:v>
                </c:pt>
                <c:pt idx="456">
                  <c:v>0.34104578863035256</c:v>
                </c:pt>
                <c:pt idx="457">
                  <c:v>0.33912431320419223</c:v>
                </c:pt>
                <c:pt idx="458">
                  <c:v>0.33717994382238059</c:v>
                </c:pt>
                <c:pt idx="459">
                  <c:v>0.33521319948710609</c:v>
                </c:pt>
                <c:pt idx="460">
                  <c:v>0.33322460289179967</c:v>
                </c:pt>
                <c:pt idx="461">
                  <c:v>0.33121468019115297</c:v>
                </c:pt>
                <c:pt idx="462">
                  <c:v>0.32918396077076478</c:v>
                </c:pt>
                <c:pt idx="463">
                  <c:v>0.32713297701655447</c:v>
                </c:pt>
                <c:pt idx="464">
                  <c:v>0.32506226408408218</c:v>
                </c:pt>
                <c:pt idx="465">
                  <c:v>0.32297235966791427</c:v>
                </c:pt>
                <c:pt idx="466">
                  <c:v>0.32086380377117252</c:v>
                </c:pt>
                <c:pt idx="467">
                  <c:v>0.31873713847540153</c:v>
                </c:pt>
                <c:pt idx="468">
                  <c:v>0.31659290771089277</c:v>
                </c:pt>
                <c:pt idx="469">
                  <c:v>0.31443165702759734</c:v>
                </c:pt>
                <c:pt idx="470">
                  <c:v>0.31225393336676127</c:v>
                </c:pt>
                <c:pt idx="471">
                  <c:v>0.31006028483341613</c:v>
                </c:pt>
                <c:pt idx="472">
                  <c:v>0.30785126046985295</c:v>
                </c:pt>
                <c:pt idx="473">
                  <c:v>0.30562741003020988</c:v>
                </c:pt>
                <c:pt idx="474">
                  <c:v>0.30338928375630014</c:v>
                </c:pt>
                <c:pt idx="475">
                  <c:v>0.30113743215480443</c:v>
                </c:pt>
                <c:pt idx="476">
                  <c:v>0.29887240577595275</c:v>
                </c:pt>
                <c:pt idx="477">
                  <c:v>0.29659475499381571</c:v>
                </c:pt>
                <c:pt idx="478">
                  <c:v>0.29430502978832512</c:v>
                </c:pt>
                <c:pt idx="479">
                  <c:v>0.29200377952914142</c:v>
                </c:pt>
                <c:pt idx="480">
                  <c:v>0.28969155276148273</c:v>
                </c:pt>
                <c:pt idx="481">
                  <c:v>0.28736889699402829</c:v>
                </c:pt>
                <c:pt idx="482">
                  <c:v>0.28503635848900727</c:v>
                </c:pt>
                <c:pt idx="483">
                  <c:v>0.28269448205458025</c:v>
                </c:pt>
                <c:pt idx="484">
                  <c:v>0.28034381083962062</c:v>
                </c:pt>
                <c:pt idx="485">
                  <c:v>0.27798488613099648</c:v>
                </c:pt>
                <c:pt idx="486">
                  <c:v>0.27561824715345667</c:v>
                </c:pt>
                <c:pt idx="487">
                  <c:v>0.27324443087221623</c:v>
                </c:pt>
                <c:pt idx="488">
                  <c:v>0.27086397179833799</c:v>
                </c:pt>
                <c:pt idx="489">
                  <c:v>0.26847740179700241</c:v>
                </c:pt>
                <c:pt idx="490">
                  <c:v>0.26608524989875482</c:v>
                </c:pt>
                <c:pt idx="491">
                  <c:v>0.26368804211381813</c:v>
                </c:pt>
                <c:pt idx="492">
                  <c:v>0.26128630124955315</c:v>
                </c:pt>
                <c:pt idx="493">
                  <c:v>0.2588805467311488</c:v>
                </c:pt>
                <c:pt idx="494">
                  <c:v>0.25647129442562033</c:v>
                </c:pt>
                <c:pt idx="495">
                  <c:v>0.25405905646918903</c:v>
                </c:pt>
                <c:pt idx="496">
                  <c:v>0.25164434109811712</c:v>
                </c:pt>
                <c:pt idx="497">
                  <c:v>0.24922765248306594</c:v>
                </c:pt>
                <c:pt idx="498">
                  <c:v>0.24680949056704274</c:v>
                </c:pt>
                <c:pt idx="499">
                  <c:v>0.24439035090699956</c:v>
                </c:pt>
                <c:pt idx="500">
                  <c:v>0.24197072451914337</c:v>
                </c:pt>
                <c:pt idx="501">
                  <c:v>0.23955109772801336</c:v>
                </c:pt>
                <c:pt idx="502">
                  <c:v>0.23713195201937959</c:v>
                </c:pt>
                <c:pt idx="503">
                  <c:v>0.23471376389701182</c:v>
                </c:pt>
                <c:pt idx="504">
                  <c:v>0.2322970047433662</c:v>
                </c:pt>
                <c:pt idx="505">
                  <c:v>0.22988214068423302</c:v>
                </c:pt>
                <c:pt idx="506">
                  <c:v>0.22746963245738591</c:v>
                </c:pt>
                <c:pt idx="507">
                  <c:v>0.22505993528526966</c:v>
                </c:pt>
                <c:pt idx="508">
                  <c:v>0.22265349875176113</c:v>
                </c:pt>
                <c:pt idx="509">
                  <c:v>0.22025076668303326</c:v>
                </c:pt>
                <c:pt idx="510">
                  <c:v>0.21785217703255053</c:v>
                </c:pt>
                <c:pt idx="511">
                  <c:v>0.21545816177021967</c:v>
                </c:pt>
                <c:pt idx="512">
                  <c:v>0.21306914677571784</c:v>
                </c:pt>
                <c:pt idx="513">
                  <c:v>0.21068555173601533</c:v>
                </c:pt>
                <c:pt idx="514">
                  <c:v>0.20830779004710837</c:v>
                </c:pt>
                <c:pt idx="515">
                  <c:v>0.20593626871997478</c:v>
                </c:pt>
                <c:pt idx="516">
                  <c:v>0.20357138829075944</c:v>
                </c:pt>
                <c:pt idx="517">
                  <c:v>0.2012135427351974</c:v>
                </c:pt>
                <c:pt idx="518">
                  <c:v>0.19886311938727591</c:v>
                </c:pt>
                <c:pt idx="519">
                  <c:v>0.19652049886213654</c:v>
                </c:pt>
                <c:pt idx="520">
                  <c:v>0.19418605498321295</c:v>
                </c:pt>
                <c:pt idx="521">
                  <c:v>0.19186015471359938</c:v>
                </c:pt>
                <c:pt idx="522">
                  <c:v>0.18954315809164024</c:v>
                </c:pt>
                <c:pt idx="523">
                  <c:v>0.18723541817072956</c:v>
                </c:pt>
                <c:pt idx="524">
                  <c:v>0.18493728096330531</c:v>
                </c:pt>
                <c:pt idx="525">
                  <c:v>0.18264908538902191</c:v>
                </c:pt>
                <c:pt idx="526">
                  <c:v>0.18037116322708033</c:v>
                </c:pt>
                <c:pt idx="527">
                  <c:v>0.17810383907269359</c:v>
                </c:pt>
                <c:pt idx="528">
                  <c:v>0.17584743029766237</c:v>
                </c:pt>
                <c:pt idx="529">
                  <c:v>0.17360224701503299</c:v>
                </c:pt>
                <c:pt idx="530">
                  <c:v>0.17136859204780736</c:v>
                </c:pt>
                <c:pt idx="531">
                  <c:v>0.16914676090167238</c:v>
                </c:pt>
                <c:pt idx="532">
                  <c:v>0.16693704174171381</c:v>
                </c:pt>
                <c:pt idx="533">
                  <c:v>0.1647397153730768</c:v>
                </c:pt>
                <c:pt idx="534">
                  <c:v>0.16255505522553412</c:v>
                </c:pt>
                <c:pt idx="535">
                  <c:v>0.1603833273419196</c:v>
                </c:pt>
                <c:pt idx="536">
                  <c:v>0.15822479037038303</c:v>
                </c:pt>
                <c:pt idx="537">
                  <c:v>0.15607969556042084</c:v>
                </c:pt>
                <c:pt idx="538">
                  <c:v>0.15394828676263372</c:v>
                </c:pt>
                <c:pt idx="539">
                  <c:v>0.15183080043216168</c:v>
                </c:pt>
                <c:pt idx="540">
                  <c:v>0.14972746563574488</c:v>
                </c:pt>
                <c:pt idx="541">
                  <c:v>0.14763850406235574</c:v>
                </c:pt>
                <c:pt idx="542">
                  <c:v>0.14556413003734761</c:v>
                </c:pt>
                <c:pt idx="543">
                  <c:v>0.14350455054006242</c:v>
                </c:pt>
                <c:pt idx="544">
                  <c:v>0.14145996522483878</c:v>
                </c:pt>
                <c:pt idx="545">
                  <c:v>0.13943056644536028</c:v>
                </c:pt>
                <c:pt idx="546">
                  <c:v>0.13741653928228179</c:v>
                </c:pt>
                <c:pt idx="547">
                  <c:v>0.1354180615740713</c:v>
                </c:pt>
                <c:pt idx="548">
                  <c:v>0.13343530395100231</c:v>
                </c:pt>
                <c:pt idx="549">
                  <c:v>0.13146842987223104</c:v>
                </c:pt>
                <c:pt idx="550">
                  <c:v>0.12951759566589174</c:v>
                </c:pt>
                <c:pt idx="551">
                  <c:v>0.12758295057214186</c:v>
                </c:pt>
                <c:pt idx="552">
                  <c:v>0.12566463678908815</c:v>
                </c:pt>
                <c:pt idx="553">
                  <c:v>0.12376278952152313</c:v>
                </c:pt>
                <c:pt idx="554">
                  <c:v>0.12187753703240178</c:v>
                </c:pt>
                <c:pt idx="555">
                  <c:v>0.12000900069698558</c:v>
                </c:pt>
                <c:pt idx="556">
                  <c:v>0.11815729505958227</c:v>
                </c:pt>
                <c:pt idx="557">
                  <c:v>0.11632252789280709</c:v>
                </c:pt>
                <c:pt idx="558">
                  <c:v>0.11450480025929236</c:v>
                </c:pt>
                <c:pt idx="559">
                  <c:v>0.11270420657577056</c:v>
                </c:pt>
                <c:pt idx="560">
                  <c:v>0.11092083467945554</c:v>
                </c:pt>
                <c:pt idx="561">
                  <c:v>0.10915476589664735</c:v>
                </c:pt>
                <c:pt idx="562">
                  <c:v>0.1074060751134838</c:v>
                </c:pt>
                <c:pt idx="563">
                  <c:v>0.10567483084876363</c:v>
                </c:pt>
                <c:pt idx="564">
                  <c:v>0.10396109532876423</c:v>
                </c:pt>
                <c:pt idx="565">
                  <c:v>0.10226492456397804</c:v>
                </c:pt>
                <c:pt idx="566">
                  <c:v>0.10058636842769057</c:v>
                </c:pt>
                <c:pt idx="567">
                  <c:v>9.8925470736323712E-2</c:v>
                </c:pt>
                <c:pt idx="568">
                  <c:v>9.7282269331467511E-2</c:v>
                </c:pt>
                <c:pt idx="569">
                  <c:v>9.5656796163524016E-2</c:v>
                </c:pt>
                <c:pt idx="570">
                  <c:v>9.4049077376886947E-2</c:v>
                </c:pt>
                <c:pt idx="571">
                  <c:v>9.2459133396580684E-2</c:v>
                </c:pt>
                <c:pt idx="572">
                  <c:v>9.0886979016282871E-2</c:v>
                </c:pt>
                <c:pt idx="573">
                  <c:v>8.9332623487655E-2</c:v>
                </c:pt>
                <c:pt idx="574">
                  <c:v>8.7796070610905622E-2</c:v>
                </c:pt>
                <c:pt idx="575">
                  <c:v>8.6277318826511532E-2</c:v>
                </c:pt>
                <c:pt idx="576">
                  <c:v>8.4776361308022227E-2</c:v>
                </c:pt>
                <c:pt idx="577">
                  <c:v>8.3293186055874463E-2</c:v>
                </c:pt>
                <c:pt idx="578">
                  <c:v>8.1827775992142804E-2</c:v>
                </c:pt>
                <c:pt idx="579">
                  <c:v>8.038010905615417E-2</c:v>
                </c:pt>
                <c:pt idx="580">
                  <c:v>7.8950158300894149E-2</c:v>
                </c:pt>
                <c:pt idx="581">
                  <c:v>7.7537891990133986E-2</c:v>
                </c:pt>
                <c:pt idx="582">
                  <c:v>7.6143273696207311E-2</c:v>
                </c:pt>
                <c:pt idx="583">
                  <c:v>7.4766262398367603E-2</c:v>
                </c:pt>
                <c:pt idx="584">
                  <c:v>7.3406812581656891E-2</c:v>
                </c:pt>
                <c:pt idx="585">
                  <c:v>7.2064874336217985E-2</c:v>
                </c:pt>
                <c:pt idx="586">
                  <c:v>7.074039345698338E-2</c:v>
                </c:pt>
                <c:pt idx="587">
                  <c:v>6.9433311543674187E-2</c:v>
                </c:pt>
                <c:pt idx="588">
                  <c:v>6.8143566101044578E-2</c:v>
                </c:pt>
                <c:pt idx="589">
                  <c:v>6.6871090639307157E-2</c:v>
                </c:pt>
                <c:pt idx="590">
                  <c:v>6.5615814774676595E-2</c:v>
                </c:pt>
                <c:pt idx="591">
                  <c:v>6.4377664329969359E-2</c:v>
                </c:pt>
                <c:pt idx="592">
                  <c:v>6.3156561435198655E-2</c:v>
                </c:pt>
                <c:pt idx="593">
                  <c:v>6.1952424628105164E-2</c:v>
                </c:pt>
                <c:pt idx="594">
                  <c:v>6.0765168954564776E-2</c:v>
                </c:pt>
                <c:pt idx="595">
                  <c:v>5.9594706068816075E-2</c:v>
                </c:pt>
                <c:pt idx="596">
                  <c:v>5.8440944333451469E-2</c:v>
                </c:pt>
                <c:pt idx="597">
                  <c:v>5.7303788919117131E-2</c:v>
                </c:pt>
                <c:pt idx="598">
                  <c:v>5.6183141903868049E-2</c:v>
                </c:pt>
                <c:pt idx="599">
                  <c:v>5.5078902372125767E-2</c:v>
                </c:pt>
                <c:pt idx="600">
                  <c:v>5.3990966513188063E-2</c:v>
                </c:pt>
                <c:pt idx="601">
                  <c:v>5.2919227719240312E-2</c:v>
                </c:pt>
                <c:pt idx="602">
                  <c:v>5.1863576682820565E-2</c:v>
                </c:pt>
                <c:pt idx="603">
                  <c:v>5.0823901493691204E-2</c:v>
                </c:pt>
                <c:pt idx="604">
                  <c:v>4.9800087735070775E-2</c:v>
                </c:pt>
                <c:pt idx="605">
                  <c:v>4.8792018579182764E-2</c:v>
                </c:pt>
                <c:pt idx="606">
                  <c:v>4.7799574882077034E-2</c:v>
                </c:pt>
                <c:pt idx="607">
                  <c:v>4.6822635277683163E-2</c:v>
                </c:pt>
                <c:pt idx="608">
                  <c:v>4.5861076271054887E-2</c:v>
                </c:pt>
                <c:pt idx="609">
                  <c:v>4.49147723307671E-2</c:v>
                </c:pt>
                <c:pt idx="610">
                  <c:v>4.3983595980427191E-2</c:v>
                </c:pt>
                <c:pt idx="611">
                  <c:v>4.3067417889265734E-2</c:v>
                </c:pt>
                <c:pt idx="612">
                  <c:v>4.2166106961770311E-2</c:v>
                </c:pt>
                <c:pt idx="613">
                  <c:v>4.1279530426330417E-2</c:v>
                </c:pt>
                <c:pt idx="614">
                  <c:v>4.0407553922860308E-2</c:v>
                </c:pt>
                <c:pt idx="615">
                  <c:v>3.955004158937022E-2</c:v>
                </c:pt>
                <c:pt idx="616">
                  <c:v>3.8706856147455608E-2</c:v>
                </c:pt>
                <c:pt idx="617">
                  <c:v>3.7877858986677483E-2</c:v>
                </c:pt>
                <c:pt idx="618">
                  <c:v>3.7062910247806474E-2</c:v>
                </c:pt>
                <c:pt idx="619">
                  <c:v>3.6261868904906222E-2</c:v>
                </c:pt>
                <c:pt idx="620">
                  <c:v>3.5474592846231424E-2</c:v>
                </c:pt>
                <c:pt idx="621">
                  <c:v>3.470093895391882E-2</c:v>
                </c:pt>
                <c:pt idx="622">
                  <c:v>3.3940763182449186E-2</c:v>
                </c:pt>
                <c:pt idx="623">
                  <c:v>3.3193920635861122E-2</c:v>
                </c:pt>
                <c:pt idx="624">
                  <c:v>3.2460265643697445E-2</c:v>
                </c:pt>
                <c:pt idx="625">
                  <c:v>3.1739651835667418E-2</c:v>
                </c:pt>
                <c:pt idx="626">
                  <c:v>3.103193221500827E-2</c:v>
                </c:pt>
                <c:pt idx="627">
                  <c:v>3.0336959230531636E-2</c:v>
                </c:pt>
                <c:pt idx="628">
                  <c:v>2.9654584847341278E-2</c:v>
                </c:pt>
                <c:pt idx="629">
                  <c:v>2.8984660616209412E-2</c:v>
                </c:pt>
                <c:pt idx="630">
                  <c:v>2.8327037741601186E-2</c:v>
                </c:pt>
                <c:pt idx="631">
                  <c:v>2.7681567148336573E-2</c:v>
                </c:pt>
                <c:pt idx="632">
                  <c:v>2.7048099546881785E-2</c:v>
                </c:pt>
                <c:pt idx="633">
                  <c:v>2.6426485497261721E-2</c:v>
                </c:pt>
                <c:pt idx="634">
                  <c:v>2.581657547158769E-2</c:v>
                </c:pt>
                <c:pt idx="635">
                  <c:v>2.5218219915194382E-2</c:v>
                </c:pt>
                <c:pt idx="636">
                  <c:v>2.4631269306382507E-2</c:v>
                </c:pt>
                <c:pt idx="637">
                  <c:v>2.4055574214762971E-2</c:v>
                </c:pt>
                <c:pt idx="638">
                  <c:v>2.3490985358201363E-2</c:v>
                </c:pt>
                <c:pt idx="639">
                  <c:v>2.2937353658360693E-2</c:v>
                </c:pt>
                <c:pt idx="640">
                  <c:v>2.2394530294842899E-2</c:v>
                </c:pt>
                <c:pt idx="641">
                  <c:v>2.1862366757929387E-2</c:v>
                </c:pt>
                <c:pt idx="642">
                  <c:v>2.1340714899922782E-2</c:v>
                </c:pt>
                <c:pt idx="643">
                  <c:v>2.0829426985092186E-2</c:v>
                </c:pt>
                <c:pt idx="644">
                  <c:v>2.0328355738225837E-2</c:v>
                </c:pt>
                <c:pt idx="645">
                  <c:v>1.9837354391795313E-2</c:v>
                </c:pt>
                <c:pt idx="646">
                  <c:v>1.9356276731736961E-2</c:v>
                </c:pt>
                <c:pt idx="647">
                  <c:v>1.8884977141856163E-2</c:v>
                </c:pt>
                <c:pt idx="648">
                  <c:v>1.8423310646862048E-2</c:v>
                </c:pt>
                <c:pt idx="649">
                  <c:v>1.7971132954039633E-2</c:v>
                </c:pt>
                <c:pt idx="650">
                  <c:v>1.752830049356854E-2</c:v>
                </c:pt>
                <c:pt idx="651">
                  <c:v>1.7094670457496956E-2</c:v>
                </c:pt>
                <c:pt idx="652">
                  <c:v>1.6670100837381057E-2</c:v>
                </c:pt>
                <c:pt idx="653">
                  <c:v>1.6254450460600506E-2</c:v>
                </c:pt>
                <c:pt idx="654">
                  <c:v>1.5847579025360818E-2</c:v>
                </c:pt>
                <c:pt idx="655">
                  <c:v>1.5449347134395174E-2</c:v>
                </c:pt>
                <c:pt idx="656">
                  <c:v>1.5059616327377449E-2</c:v>
                </c:pt>
                <c:pt idx="657">
                  <c:v>1.4678249112060044E-2</c:v>
                </c:pt>
                <c:pt idx="658">
                  <c:v>1.430510899414969E-2</c:v>
                </c:pt>
                <c:pt idx="659">
                  <c:v>1.3940060505935825E-2</c:v>
                </c:pt>
                <c:pt idx="660">
                  <c:v>1.3582969233685613E-2</c:v>
                </c:pt>
                <c:pt idx="661">
                  <c:v>1.3233701843821374E-2</c:v>
                </c:pt>
                <c:pt idx="662">
                  <c:v>1.2892126107895304E-2</c:v>
                </c:pt>
                <c:pt idx="663">
                  <c:v>1.2558110926378211E-2</c:v>
                </c:pt>
                <c:pt idx="664">
                  <c:v>1.2231526351277971E-2</c:v>
                </c:pt>
                <c:pt idx="665">
                  <c:v>1.1912243607605179E-2</c:v>
                </c:pt>
                <c:pt idx="666">
                  <c:v>1.1600135113702561E-2</c:v>
                </c:pt>
                <c:pt idx="667">
                  <c:v>1.1295074500456135E-2</c:v>
                </c:pt>
                <c:pt idx="668">
                  <c:v>1.0996936629405572E-2</c:v>
                </c:pt>
                <c:pt idx="669">
                  <c:v>1.0705597609772187E-2</c:v>
                </c:pt>
                <c:pt idx="670">
                  <c:v>1.0420934814422592E-2</c:v>
                </c:pt>
                <c:pt idx="671">
                  <c:v>1.0142826894787077E-2</c:v>
                </c:pt>
                <c:pt idx="672">
                  <c:v>9.8711537947511301E-3</c:v>
                </c:pt>
                <c:pt idx="673">
                  <c:v>9.6057967635395872E-3</c:v>
                </c:pt>
                <c:pt idx="674">
                  <c:v>9.3466383676122835E-3</c:v>
                </c:pt>
                <c:pt idx="675">
                  <c:v>9.0935625015910529E-3</c:v>
                </c:pt>
                <c:pt idx="676">
                  <c:v>8.8464543982372315E-3</c:v>
                </c:pt>
                <c:pt idx="677">
                  <c:v>8.6052006374996715E-3</c:v>
                </c:pt>
                <c:pt idx="678">
                  <c:v>8.369689154653033E-3</c:v>
                </c:pt>
                <c:pt idx="679">
                  <c:v>8.1398092475460215E-3</c:v>
                </c:pt>
                <c:pt idx="680">
                  <c:v>7.9154515829799686E-3</c:v>
                </c:pt>
                <c:pt idx="681">
                  <c:v>7.6965082022373218E-3</c:v>
                </c:pt>
                <c:pt idx="682">
                  <c:v>7.4828725257805638E-3</c:v>
                </c:pt>
                <c:pt idx="683">
                  <c:v>7.2744393571412182E-3</c:v>
                </c:pt>
                <c:pt idx="684">
                  <c:v>7.0711048860194487E-3</c:v>
                </c:pt>
                <c:pt idx="685">
                  <c:v>6.8727666906139712E-3</c:v>
                </c:pt>
                <c:pt idx="686">
                  <c:v>6.6793237392026202E-3</c:v>
                </c:pt>
                <c:pt idx="687">
                  <c:v>6.4906763909933643E-3</c:v>
                </c:pt>
                <c:pt idx="688">
                  <c:v>6.3067263962659275E-3</c:v>
                </c:pt>
                <c:pt idx="689">
                  <c:v>6.1273768958236873E-3</c:v>
                </c:pt>
                <c:pt idx="690">
                  <c:v>5.9525324197758538E-3</c:v>
                </c:pt>
                <c:pt idx="691">
                  <c:v>5.7820988856694729E-3</c:v>
                </c:pt>
                <c:pt idx="692">
                  <c:v>5.615983595990969E-3</c:v>
                </c:pt>
                <c:pt idx="693">
                  <c:v>5.4540952350565454E-3</c:v>
                </c:pt>
                <c:pt idx="694">
                  <c:v>5.2963438653110201E-3</c:v>
                </c:pt>
                <c:pt idx="695">
                  <c:v>5.1426409230539392E-3</c:v>
                </c:pt>
                <c:pt idx="696">
                  <c:v>4.9928992136123763E-3</c:v>
                </c:pt>
                <c:pt idx="697">
                  <c:v>4.847032905978944E-3</c:v>
                </c:pt>
                <c:pt idx="698">
                  <c:v>4.7049575269339792E-3</c:v>
                </c:pt>
                <c:pt idx="699">
                  <c:v>4.5665899546701444E-3</c:v>
                </c:pt>
                <c:pt idx="700">
                  <c:v>4.4318484119380075E-3</c:v>
                </c:pt>
                <c:pt idx="701">
                  <c:v>4.3006524587304498E-3</c:v>
                </c:pt>
                <c:pt idx="702">
                  <c:v>4.1729229845239623E-3</c:v>
                </c:pt>
                <c:pt idx="703">
                  <c:v>4.04858220009443E-3</c:v>
                </c:pt>
                <c:pt idx="704">
                  <c:v>3.9275536289247789E-3</c:v>
                </c:pt>
                <c:pt idx="705">
                  <c:v>3.8097620982218104E-3</c:v>
                </c:pt>
                <c:pt idx="706">
                  <c:v>3.6951337295590349E-3</c:v>
                </c:pt>
                <c:pt idx="707">
                  <c:v>3.5835959291623614E-3</c:v>
                </c:pt>
                <c:pt idx="708">
                  <c:v>3.4750773778549375E-3</c:v>
                </c:pt>
                <c:pt idx="709">
                  <c:v>3.3695080206774812E-3</c:v>
                </c:pt>
                <c:pt idx="710">
                  <c:v>3.2668190561999182E-3</c:v>
                </c:pt>
                <c:pt idx="711">
                  <c:v>3.1669429255400811E-3</c:v>
                </c:pt>
                <c:pt idx="712">
                  <c:v>3.0698133011047403E-3</c:v>
                </c:pt>
                <c:pt idx="713">
                  <c:v>2.9753650750682535E-3</c:v>
                </c:pt>
                <c:pt idx="714">
                  <c:v>2.8835343476034392E-3</c:v>
                </c:pt>
                <c:pt idx="715">
                  <c:v>2.7942584148794472E-3</c:v>
                </c:pt>
                <c:pt idx="716">
                  <c:v>2.7074757568406999E-3</c:v>
                </c:pt>
                <c:pt idx="717">
                  <c:v>2.6231260247810244E-3</c:v>
                </c:pt>
                <c:pt idx="718">
                  <c:v>2.5411500287265214E-3</c:v>
                </c:pt>
                <c:pt idx="719">
                  <c:v>2.4614897246407006E-3</c:v>
                </c:pt>
                <c:pt idx="720">
                  <c:v>2.3840882014648404E-3</c:v>
                </c:pt>
                <c:pt idx="721">
                  <c:v>2.3088896680064958E-3</c:v>
                </c:pt>
                <c:pt idx="722">
                  <c:v>2.2358394396885385E-3</c:v>
                </c:pt>
                <c:pt idx="723">
                  <c:v>2.164883925171062E-3</c:v>
                </c:pt>
                <c:pt idx="724">
                  <c:v>2.0959706128579419E-3</c:v>
                </c:pt>
                <c:pt idx="725">
                  <c:v>2.0290480572997681E-3</c:v>
                </c:pt>
                <c:pt idx="726">
                  <c:v>1.9640658655043761E-3</c:v>
                </c:pt>
                <c:pt idx="727">
                  <c:v>1.9009746831660803E-3</c:v>
                </c:pt>
                <c:pt idx="728">
                  <c:v>1.839726180824281E-3</c:v>
                </c:pt>
                <c:pt idx="729">
                  <c:v>1.7802730399618786E-3</c:v>
                </c:pt>
                <c:pt idx="730">
                  <c:v>1.7225689390536812E-3</c:v>
                </c:pt>
                <c:pt idx="731">
                  <c:v>1.6665685395745797E-3</c:v>
                </c:pt>
                <c:pt idx="732">
                  <c:v>1.6122274719771244E-3</c:v>
                </c:pt>
                <c:pt idx="733">
                  <c:v>1.5595023216476915E-3</c:v>
                </c:pt>
                <c:pt idx="734">
                  <c:v>1.5083506148503073E-3</c:v>
                </c:pt>
                <c:pt idx="735">
                  <c:v>1.4587308046667459E-3</c:v>
                </c:pt>
                <c:pt idx="736">
                  <c:v>1.4106022569413848E-3</c:v>
                </c:pt>
                <c:pt idx="737">
                  <c:v>1.3639252362389036E-3</c:v>
                </c:pt>
                <c:pt idx="738">
                  <c:v>1.3186608918227423E-3</c:v>
                </c:pt>
                <c:pt idx="739">
                  <c:v>1.2747712436618327E-3</c:v>
                </c:pt>
                <c:pt idx="740">
                  <c:v>1.2322191684730199E-3</c:v>
                </c:pt>
                <c:pt idx="741">
                  <c:v>1.1909683858061166E-3</c:v>
                </c:pt>
                <c:pt idx="742">
                  <c:v>1.1509834441784845E-3</c:v>
                </c:pt>
                <c:pt idx="743">
                  <c:v>1.1122297072655649E-3</c:v>
                </c:pt>
                <c:pt idx="744">
                  <c:v>1.0746733401537356E-3</c:v>
                </c:pt>
                <c:pt idx="745">
                  <c:v>1.0382812956614103E-3</c:v>
                </c:pt>
                <c:pt idx="746">
                  <c:v>1.0030213007342376E-3</c:v>
                </c:pt>
                <c:pt idx="747">
                  <c:v>9.6886184291984591E-4</c:v>
                </c:pt>
                <c:pt idx="748">
                  <c:v>9.3577215692747977E-4</c:v>
                </c:pt>
                <c:pt idx="749">
                  <c:v>9.0372221127752448E-4</c:v>
                </c:pt>
                <c:pt idx="750">
                  <c:v>8.7268269504576015E-4</c:v>
                </c:pt>
                <c:pt idx="751">
                  <c:v>8.4262500470690268E-4</c:v>
                </c:pt>
                <c:pt idx="752">
                  <c:v>8.1352123108180841E-4</c:v>
                </c:pt>
                <c:pt idx="753">
                  <c:v>7.8534414639246997E-4</c:v>
                </c:pt>
                <c:pt idx="754">
                  <c:v>7.580671914287103E-4</c:v>
                </c:pt>
                <c:pt idx="755">
                  <c:v>7.3166446283031089E-4</c:v>
                </c:pt>
                <c:pt idx="756">
                  <c:v>7.061107004880362E-4</c:v>
                </c:pt>
                <c:pt idx="757">
                  <c:v>6.8138127506689212E-4</c:v>
                </c:pt>
                <c:pt idx="758">
                  <c:v>6.5745217565467645E-4</c:v>
                </c:pt>
                <c:pt idx="759">
                  <c:v>6.342999975387576E-4</c:v>
                </c:pt>
                <c:pt idx="760">
                  <c:v>6.119019301137719E-4</c:v>
                </c:pt>
                <c:pt idx="761">
                  <c:v>5.9023574492278561E-4</c:v>
                </c:pt>
                <c:pt idx="762">
                  <c:v>5.6927978383425261E-4</c:v>
                </c:pt>
                <c:pt idx="763">
                  <c:v>5.490129473569587E-4</c:v>
                </c:pt>
                <c:pt idx="764">
                  <c:v>5.2941468309493475E-4</c:v>
                </c:pt>
                <c:pt idx="765">
                  <c:v>5.104649743441856E-4</c:v>
                </c:pt>
                <c:pt idx="766">
                  <c:v>4.9214432883289312E-4</c:v>
                </c:pt>
                <c:pt idx="767">
                  <c:v>4.7443376760662064E-4</c:v>
                </c:pt>
                <c:pt idx="768">
                  <c:v>4.5731481405985675E-4</c:v>
                </c:pt>
                <c:pt idx="769">
                  <c:v>4.4076948311513252E-4</c:v>
                </c:pt>
                <c:pt idx="770">
                  <c:v>4.2478027055075143E-4</c:v>
                </c:pt>
                <c:pt idx="771">
                  <c:v>4.0933014247807883E-4</c:v>
                </c:pt>
                <c:pt idx="772">
                  <c:v>3.9440252496915622E-4</c:v>
                </c:pt>
                <c:pt idx="773">
                  <c:v>3.7998129383532141E-4</c:v>
                </c:pt>
                <c:pt idx="774">
                  <c:v>3.6605076455733496E-4</c:v>
                </c:pt>
                <c:pt idx="775">
                  <c:v>3.5259568236744541E-4</c:v>
                </c:pt>
                <c:pt idx="776">
                  <c:v>3.3960121248365478E-4</c:v>
                </c:pt>
                <c:pt idx="777">
                  <c:v>3.2705293049637498E-4</c:v>
                </c:pt>
                <c:pt idx="778">
                  <c:v>3.1493681290752188E-4</c:v>
                </c:pt>
                <c:pt idx="779">
                  <c:v>3.0323922782200417E-4</c:v>
                </c:pt>
                <c:pt idx="780">
                  <c:v>2.9194692579146027E-4</c:v>
                </c:pt>
                <c:pt idx="781">
                  <c:v>2.8104703080998632E-4</c:v>
                </c:pt>
                <c:pt idx="782">
                  <c:v>2.70527031461521E-4</c:v>
                </c:pt>
                <c:pt idx="783">
                  <c:v>2.6037477221844247E-4</c:v>
                </c:pt>
                <c:pt idx="784">
                  <c:v>2.5057844489086075E-4</c:v>
                </c:pt>
                <c:pt idx="785">
                  <c:v>2.4112658022599324E-4</c:v>
                </c:pt>
                <c:pt idx="786">
                  <c:v>2.3200803965694238E-4</c:v>
                </c:pt>
                <c:pt idx="787">
                  <c:v>2.2321200720010206E-4</c:v>
                </c:pt>
                <c:pt idx="788">
                  <c:v>2.1472798150036704E-4</c:v>
                </c:pt>
                <c:pt idx="789">
                  <c:v>2.0654576802322548E-4</c:v>
                </c:pt>
                <c:pt idx="790">
                  <c:v>1.9865547139277272E-4</c:v>
                </c:pt>
                <c:pt idx="791">
                  <c:v>1.9104748787459762E-4</c:v>
                </c:pt>
                <c:pt idx="792">
                  <c:v>1.8371249800245711E-4</c:v>
                </c:pt>
                <c:pt idx="793">
                  <c:v>1.7664145934757092E-4</c:v>
                </c:pt>
                <c:pt idx="794">
                  <c:v>1.6982559942934359E-4</c:v>
                </c:pt>
                <c:pt idx="795">
                  <c:v>1.6325640876624199E-4</c:v>
                </c:pt>
                <c:pt idx="796">
                  <c:v>1.5692563406553226E-4</c:v>
                </c:pt>
                <c:pt idx="797">
                  <c:v>1.508252715505178E-4</c:v>
                </c:pt>
                <c:pt idx="798">
                  <c:v>1.4494756042389106E-4</c:v>
                </c:pt>
                <c:pt idx="799">
                  <c:v>1.3928497646575994E-4</c:v>
                </c:pt>
                <c:pt idx="800">
                  <c:v>1.3383022576488537E-4</c:v>
                </c:pt>
              </c:numCache>
            </c:numRef>
          </c:val>
          <c:smooth val="0"/>
          <c:extLst>
            <c:ext xmlns:c16="http://schemas.microsoft.com/office/drawing/2014/chart" uri="{C3380CC4-5D6E-409C-BE32-E72D297353CC}">
              <c16:uniqueId val="{00000000-7D6C-48AE-AA50-F1F2A9919D42}"/>
            </c:ext>
          </c:extLst>
        </c:ser>
        <c:dLbls>
          <c:showLegendKey val="0"/>
          <c:showVal val="0"/>
          <c:showCatName val="0"/>
          <c:showSerName val="0"/>
          <c:showPercent val="0"/>
          <c:showBubbleSize val="0"/>
        </c:dLbls>
        <c:smooth val="0"/>
        <c:axId val="36785152"/>
        <c:axId val="36786944"/>
      </c:lineChart>
      <c:catAx>
        <c:axId val="36785152"/>
        <c:scaling>
          <c:orientation val="minMax"/>
        </c:scaling>
        <c:delete val="1"/>
        <c:axPos val="b"/>
        <c:majorTickMark val="out"/>
        <c:minorTickMark val="none"/>
        <c:tickLblPos val="nextTo"/>
        <c:crossAx val="36786944"/>
        <c:crosses val="autoZero"/>
        <c:auto val="1"/>
        <c:lblAlgn val="ctr"/>
        <c:lblOffset val="100"/>
        <c:noMultiLvlLbl val="0"/>
      </c:catAx>
      <c:valAx>
        <c:axId val="36786944"/>
        <c:scaling>
          <c:orientation val="minMax"/>
        </c:scaling>
        <c:delete val="1"/>
        <c:axPos val="l"/>
        <c:majorGridlines/>
        <c:numFmt formatCode="0.00000000000000000000" sourceLinked="1"/>
        <c:majorTickMark val="out"/>
        <c:minorTickMark val="none"/>
        <c:tickLblPos val="nextTo"/>
        <c:crossAx val="36785152"/>
        <c:crosses val="autoZero"/>
        <c:crossBetween val="between"/>
      </c:valAx>
    </c:plotArea>
    <c:plotVisOnly val="1"/>
    <c:dispBlanksAs val="gap"/>
    <c:showDLblsOverMax val="0"/>
  </c:chart>
  <c:printSettings>
    <c:headerFooter/>
    <c:pageMargins b="0.75000000000000522" l="0.70000000000000062" r="0.70000000000000062" t="0.750000000000005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'Bölüm 2'!$A$594:$A$598</c:f>
              <c:strCache>
                <c:ptCount val="5"/>
                <c:pt idx="0">
                  <c:v>0-4</c:v>
                </c:pt>
                <c:pt idx="1">
                  <c:v>4_8</c:v>
                </c:pt>
                <c:pt idx="2">
                  <c:v>8_12</c:v>
                </c:pt>
                <c:pt idx="3">
                  <c:v>12_16</c:v>
                </c:pt>
                <c:pt idx="4">
                  <c:v>16_20</c:v>
                </c:pt>
              </c:strCache>
            </c:strRef>
          </c:cat>
          <c:val>
            <c:numRef>
              <c:f>'Bölüm 2'!$D$594:$D$598</c:f>
              <c:numCache>
                <c:formatCode>General</c:formatCode>
                <c:ptCount val="5"/>
                <c:pt idx="0">
                  <c:v>0.12</c:v>
                </c:pt>
                <c:pt idx="1">
                  <c:v>0.4</c:v>
                </c:pt>
                <c:pt idx="2">
                  <c:v>0.72</c:v>
                </c:pt>
                <c:pt idx="3">
                  <c:v>0.91999999999999993</c:v>
                </c:pt>
                <c:pt idx="4">
                  <c:v>0.99999999999999989</c:v>
                </c:pt>
              </c:numCache>
            </c:numRef>
          </c:val>
          <c:extLst>
            <c:ext xmlns:c16="http://schemas.microsoft.com/office/drawing/2014/chart" uri="{C3380CC4-5D6E-409C-BE32-E72D297353CC}">
              <c16:uniqueId val="{00000000-F3A3-40DF-863C-193DECFED22A}"/>
            </c:ext>
          </c:extLst>
        </c:ser>
        <c:dLbls>
          <c:showLegendKey val="0"/>
          <c:showVal val="0"/>
          <c:showCatName val="0"/>
          <c:showSerName val="0"/>
          <c:showPercent val="0"/>
          <c:showBubbleSize val="0"/>
        </c:dLbls>
        <c:gapWidth val="0"/>
        <c:overlap val="100"/>
        <c:axId val="35933184"/>
        <c:axId val="35943168"/>
      </c:barChart>
      <c:catAx>
        <c:axId val="35933184"/>
        <c:scaling>
          <c:orientation val="minMax"/>
        </c:scaling>
        <c:delete val="0"/>
        <c:axPos val="b"/>
        <c:numFmt formatCode="General" sourceLinked="0"/>
        <c:majorTickMark val="out"/>
        <c:minorTickMark val="none"/>
        <c:tickLblPos val="nextTo"/>
        <c:crossAx val="35943168"/>
        <c:crosses val="autoZero"/>
        <c:auto val="1"/>
        <c:lblAlgn val="ctr"/>
        <c:lblOffset val="100"/>
        <c:noMultiLvlLbl val="0"/>
      </c:catAx>
      <c:valAx>
        <c:axId val="35943168"/>
        <c:scaling>
          <c:orientation val="minMax"/>
        </c:scaling>
        <c:delete val="0"/>
        <c:axPos val="l"/>
        <c:majorGridlines/>
        <c:numFmt formatCode="General" sourceLinked="1"/>
        <c:majorTickMark val="out"/>
        <c:minorTickMark val="none"/>
        <c:tickLblPos val="nextTo"/>
        <c:crossAx val="35933184"/>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97175141242938E-2"/>
          <c:y val="9.4594636533764764E-2"/>
          <c:w val="0.87570621468927201"/>
          <c:h val="0.6335575093803244"/>
        </c:manualLayout>
      </c:layout>
      <c:lineChart>
        <c:grouping val="standard"/>
        <c:varyColors val="0"/>
        <c:ser>
          <c:idx val="0"/>
          <c:order val="0"/>
          <c:marker>
            <c:symbol val="none"/>
          </c:marker>
          <c:val>
            <c:numRef>
              <c:f>'Z TABLOSUNUN HAZIRLANIŞI'!$F$2:$F$802</c:f>
              <c:numCache>
                <c:formatCode>0.00000000000000000000</c:formatCode>
                <c:ptCount val="801"/>
                <c:pt idx="0">
                  <c:v>1.3383022576488537E-4</c:v>
                </c:pt>
                <c:pt idx="1">
                  <c:v>1.3928497646575994E-4</c:v>
                </c:pt>
                <c:pt idx="2">
                  <c:v>1.4494756042389106E-4</c:v>
                </c:pt>
                <c:pt idx="3">
                  <c:v>1.508252715505178E-4</c:v>
                </c:pt>
                <c:pt idx="4">
                  <c:v>1.5692563406553226E-4</c:v>
                </c:pt>
                <c:pt idx="5">
                  <c:v>1.6325640876624199E-4</c:v>
                </c:pt>
                <c:pt idx="6">
                  <c:v>1.6982559942934359E-4</c:v>
                </c:pt>
                <c:pt idx="7">
                  <c:v>1.7664145934757092E-4</c:v>
                </c:pt>
                <c:pt idx="8">
                  <c:v>1.8371249800245711E-4</c:v>
                </c:pt>
                <c:pt idx="9">
                  <c:v>1.9104748787459762E-4</c:v>
                </c:pt>
                <c:pt idx="10">
                  <c:v>1.9865547139277272E-4</c:v>
                </c:pt>
                <c:pt idx="11">
                  <c:v>2.0654576802322548E-4</c:v>
                </c:pt>
                <c:pt idx="12">
                  <c:v>2.1472798150036704E-4</c:v>
                </c:pt>
                <c:pt idx="13">
                  <c:v>2.2321200720010206E-4</c:v>
                </c:pt>
                <c:pt idx="14">
                  <c:v>2.3200803965694238E-4</c:v>
                </c:pt>
                <c:pt idx="15">
                  <c:v>2.4112658022599324E-4</c:v>
                </c:pt>
                <c:pt idx="16">
                  <c:v>2.5057844489086075E-4</c:v>
                </c:pt>
                <c:pt idx="17">
                  <c:v>2.6037477221844247E-4</c:v>
                </c:pt>
                <c:pt idx="18">
                  <c:v>2.70527031461521E-4</c:v>
                </c:pt>
                <c:pt idx="19">
                  <c:v>2.8104703080998632E-4</c:v>
                </c:pt>
                <c:pt idx="20">
                  <c:v>2.9194692579146027E-4</c:v>
                </c:pt>
                <c:pt idx="21">
                  <c:v>3.0323922782200417E-4</c:v>
                </c:pt>
                <c:pt idx="22">
                  <c:v>3.1493681290750979E-4</c:v>
                </c:pt>
                <c:pt idx="23">
                  <c:v>3.2705293049637498E-4</c:v>
                </c:pt>
                <c:pt idx="24">
                  <c:v>3.3960121248364182E-4</c:v>
                </c:pt>
                <c:pt idx="25">
                  <c:v>3.5259568236744541E-4</c:v>
                </c:pt>
                <c:pt idx="26">
                  <c:v>3.6605076455732168E-4</c:v>
                </c:pt>
                <c:pt idx="27">
                  <c:v>3.7998129383530694E-4</c:v>
                </c:pt>
                <c:pt idx="28">
                  <c:v>3.9440252496914186E-4</c:v>
                </c:pt>
                <c:pt idx="29">
                  <c:v>4.0933014247806321E-4</c:v>
                </c:pt>
                <c:pt idx="30">
                  <c:v>4.2478027055073593E-4</c:v>
                </c:pt>
                <c:pt idx="31">
                  <c:v>4.4076948311511571E-4</c:v>
                </c:pt>
                <c:pt idx="32">
                  <c:v>4.5731481405984016E-4</c:v>
                </c:pt>
                <c:pt idx="33">
                  <c:v>4.7443376760660297E-4</c:v>
                </c:pt>
                <c:pt idx="34">
                  <c:v>4.9214432883287567E-4</c:v>
                </c:pt>
                <c:pt idx="35">
                  <c:v>5.1046497434416652E-4</c:v>
                </c:pt>
                <c:pt idx="36">
                  <c:v>5.2941468309491589E-4</c:v>
                </c:pt>
                <c:pt idx="37">
                  <c:v>5.4901294735693875E-4</c:v>
                </c:pt>
                <c:pt idx="38">
                  <c:v>5.6927978383423234E-4</c:v>
                </c:pt>
                <c:pt idx="39">
                  <c:v>5.9023574492276414E-4</c:v>
                </c:pt>
                <c:pt idx="40">
                  <c:v>6.1190193011375076E-4</c:v>
                </c:pt>
                <c:pt idx="41">
                  <c:v>6.3429999753873451E-4</c:v>
                </c:pt>
                <c:pt idx="42">
                  <c:v>6.5745217565465314E-4</c:v>
                </c:pt>
                <c:pt idx="43">
                  <c:v>6.8138127506686729E-4</c:v>
                </c:pt>
                <c:pt idx="44">
                  <c:v>7.061107004880117E-4</c:v>
                </c:pt>
                <c:pt idx="45">
                  <c:v>7.3166446283028422E-4</c:v>
                </c:pt>
                <c:pt idx="46">
                  <c:v>7.5806719142868396E-4</c:v>
                </c:pt>
                <c:pt idx="47">
                  <c:v>7.8534414639244135E-4</c:v>
                </c:pt>
                <c:pt idx="48">
                  <c:v>8.1352123108178022E-4</c:v>
                </c:pt>
                <c:pt idx="49">
                  <c:v>8.4262500470687275E-4</c:v>
                </c:pt>
                <c:pt idx="50">
                  <c:v>8.7268269504572915E-4</c:v>
                </c:pt>
                <c:pt idx="51">
                  <c:v>9.0372221127749315E-4</c:v>
                </c:pt>
                <c:pt idx="52">
                  <c:v>9.3577215692744649E-4</c:v>
                </c:pt>
                <c:pt idx="53">
                  <c:v>9.688618429198123E-4</c:v>
                </c:pt>
                <c:pt idx="54">
                  <c:v>1.0030213007342029E-3</c:v>
                </c:pt>
                <c:pt idx="55">
                  <c:v>1.0382812956613752E-3</c:v>
                </c:pt>
                <c:pt idx="56">
                  <c:v>1.0746733401536977E-3</c:v>
                </c:pt>
                <c:pt idx="57">
                  <c:v>1.1122297072655273E-3</c:v>
                </c:pt>
                <c:pt idx="58">
                  <c:v>1.1509834441784435E-3</c:v>
                </c:pt>
                <c:pt idx="59">
                  <c:v>1.1909683858060776E-3</c:v>
                </c:pt>
                <c:pt idx="60">
                  <c:v>1.2322191684729772E-3</c:v>
                </c:pt>
                <c:pt idx="61">
                  <c:v>1.2747712436617907E-3</c:v>
                </c:pt>
                <c:pt idx="62">
                  <c:v>1.3186608918226966E-3</c:v>
                </c:pt>
                <c:pt idx="63">
                  <c:v>1.3639252362388588E-3</c:v>
                </c:pt>
                <c:pt idx="64">
                  <c:v>1.410602256941336E-3</c:v>
                </c:pt>
                <c:pt idx="65">
                  <c:v>1.458730804666698E-3</c:v>
                </c:pt>
                <c:pt idx="66">
                  <c:v>1.5083506148502565E-3</c:v>
                </c:pt>
                <c:pt idx="67">
                  <c:v>1.5595023216476403E-3</c:v>
                </c:pt>
                <c:pt idx="68">
                  <c:v>1.61222747197707E-3</c:v>
                </c:pt>
                <c:pt idx="69">
                  <c:v>1.6665685395744704E-3</c:v>
                </c:pt>
                <c:pt idx="70">
                  <c:v>1.7225689390536229E-3</c:v>
                </c:pt>
                <c:pt idx="71">
                  <c:v>1.7802730399617613E-3</c:v>
                </c:pt>
                <c:pt idx="72">
                  <c:v>1.8397261808242187E-3</c:v>
                </c:pt>
                <c:pt idx="73">
                  <c:v>1.9009746831659554E-3</c:v>
                </c:pt>
                <c:pt idx="74">
                  <c:v>1.9640658655042447E-3</c:v>
                </c:pt>
                <c:pt idx="75">
                  <c:v>2.0290480572996363E-3</c:v>
                </c:pt>
                <c:pt idx="76">
                  <c:v>2.0959706128578057E-3</c:v>
                </c:pt>
                <c:pt idx="77">
                  <c:v>2.1648839251709219E-3</c:v>
                </c:pt>
                <c:pt idx="78">
                  <c:v>2.2358394396883954E-3</c:v>
                </c:pt>
                <c:pt idx="79">
                  <c:v>2.3088896680063479E-3</c:v>
                </c:pt>
                <c:pt idx="80">
                  <c:v>2.3840882014646877E-3</c:v>
                </c:pt>
                <c:pt idx="81">
                  <c:v>2.4614897246405432E-3</c:v>
                </c:pt>
                <c:pt idx="82">
                  <c:v>2.5411500287263588E-3</c:v>
                </c:pt>
                <c:pt idx="83">
                  <c:v>2.6231260247808592E-3</c:v>
                </c:pt>
                <c:pt idx="84">
                  <c:v>2.707475756840529E-3</c:v>
                </c:pt>
                <c:pt idx="85">
                  <c:v>2.7942584148792707E-3</c:v>
                </c:pt>
                <c:pt idx="86">
                  <c:v>2.8835343476032575E-3</c:v>
                </c:pt>
                <c:pt idx="87">
                  <c:v>2.9753650750680657E-3</c:v>
                </c:pt>
                <c:pt idx="88">
                  <c:v>3.0698133011045495E-3</c:v>
                </c:pt>
                <c:pt idx="89">
                  <c:v>3.1669429255398842E-3</c:v>
                </c:pt>
                <c:pt idx="90">
                  <c:v>3.2668190561997183E-3</c:v>
                </c:pt>
                <c:pt idx="91">
                  <c:v>3.3695080206772744E-3</c:v>
                </c:pt>
                <c:pt idx="92">
                  <c:v>3.4750773778547215E-3</c:v>
                </c:pt>
                <c:pt idx="93">
                  <c:v>3.5835959291621419E-3</c:v>
                </c:pt>
                <c:pt idx="94">
                  <c:v>3.6951337295588085E-3</c:v>
                </c:pt>
                <c:pt idx="95">
                  <c:v>3.8097620982215767E-3</c:v>
                </c:pt>
                <c:pt idx="96">
                  <c:v>3.9275536289245386E-3</c:v>
                </c:pt>
                <c:pt idx="97">
                  <c:v>4.0485822000941845E-3</c:v>
                </c:pt>
                <c:pt idx="98">
                  <c:v>4.1729229845237107E-3</c:v>
                </c:pt>
                <c:pt idx="99">
                  <c:v>4.3006524587301869E-3</c:v>
                </c:pt>
                <c:pt idx="100">
                  <c:v>4.4318484119377395E-3</c:v>
                </c:pt>
                <c:pt idx="101">
                  <c:v>4.5665899546698729E-3</c:v>
                </c:pt>
                <c:pt idx="102">
                  <c:v>4.7049575269336999E-3</c:v>
                </c:pt>
                <c:pt idx="103">
                  <c:v>4.8470329059786595E-3</c:v>
                </c:pt>
                <c:pt idx="104">
                  <c:v>4.9928992136120788E-3</c:v>
                </c:pt>
                <c:pt idx="105">
                  <c:v>5.1426409230536331E-3</c:v>
                </c:pt>
                <c:pt idx="106">
                  <c:v>5.2963438653107087E-3</c:v>
                </c:pt>
                <c:pt idx="107">
                  <c:v>5.4540952350562262E-3</c:v>
                </c:pt>
                <c:pt idx="108">
                  <c:v>5.6159835959906394E-3</c:v>
                </c:pt>
                <c:pt idx="109">
                  <c:v>5.7820988856691381E-3</c:v>
                </c:pt>
                <c:pt idx="110">
                  <c:v>5.9525324197755095E-3</c:v>
                </c:pt>
                <c:pt idx="111">
                  <c:v>6.1273768958233343E-3</c:v>
                </c:pt>
                <c:pt idx="112">
                  <c:v>6.3067263962655632E-3</c:v>
                </c:pt>
                <c:pt idx="113">
                  <c:v>6.4906763909929896E-3</c:v>
                </c:pt>
                <c:pt idx="114">
                  <c:v>6.6793237392022359E-3</c:v>
                </c:pt>
                <c:pt idx="115">
                  <c:v>6.8727666906135809E-3</c:v>
                </c:pt>
                <c:pt idx="116">
                  <c:v>7.0711048860190471E-3</c:v>
                </c:pt>
                <c:pt idx="117">
                  <c:v>7.2744393571408045E-3</c:v>
                </c:pt>
                <c:pt idx="118">
                  <c:v>7.4828725257799255E-3</c:v>
                </c:pt>
                <c:pt idx="119">
                  <c:v>7.6965082022366791E-3</c:v>
                </c:pt>
                <c:pt idx="120">
                  <c:v>7.9154515829792989E-3</c:v>
                </c:pt>
                <c:pt idx="121">
                  <c:v>8.1398092475453449E-3</c:v>
                </c:pt>
                <c:pt idx="122">
                  <c:v>8.3696891546523322E-3</c:v>
                </c:pt>
                <c:pt idx="123">
                  <c:v>8.6052006374989533E-3</c:v>
                </c:pt>
                <c:pt idx="124">
                  <c:v>8.8464543982364925E-3</c:v>
                </c:pt>
                <c:pt idx="125">
                  <c:v>9.0935625015902983E-3</c:v>
                </c:pt>
                <c:pt idx="126">
                  <c:v>9.3466383676115185E-3</c:v>
                </c:pt>
                <c:pt idx="127">
                  <c:v>9.6057967635387945E-3</c:v>
                </c:pt>
                <c:pt idx="128">
                  <c:v>9.8711537947503338E-3</c:v>
                </c:pt>
                <c:pt idx="129">
                  <c:v>1.0142826894786249E-2</c:v>
                </c:pt>
                <c:pt idx="130">
                  <c:v>1.0420934814421754E-2</c:v>
                </c:pt>
                <c:pt idx="131">
                  <c:v>1.0705597609771316E-2</c:v>
                </c:pt>
                <c:pt idx="132">
                  <c:v>1.0996936629404699E-2</c:v>
                </c:pt>
                <c:pt idx="133">
                  <c:v>1.1295074500455226E-2</c:v>
                </c:pt>
                <c:pt idx="134">
                  <c:v>1.1600135113701645E-2</c:v>
                </c:pt>
                <c:pt idx="135">
                  <c:v>1.1912243607604227E-2</c:v>
                </c:pt>
                <c:pt idx="136">
                  <c:v>1.2231526351277009E-2</c:v>
                </c:pt>
                <c:pt idx="137">
                  <c:v>1.2558110926377212E-2</c:v>
                </c:pt>
                <c:pt idx="138">
                  <c:v>1.2892126107894301E-2</c:v>
                </c:pt>
                <c:pt idx="139">
                  <c:v>1.3233701843820328E-2</c:v>
                </c:pt>
                <c:pt idx="140">
                  <c:v>1.3582969233684565E-2</c:v>
                </c:pt>
                <c:pt idx="141">
                  <c:v>1.3940060505934734E-2</c:v>
                </c:pt>
                <c:pt idx="142">
                  <c:v>1.4305108994148592E-2</c:v>
                </c:pt>
                <c:pt idx="143">
                  <c:v>1.4678249112058905E-2</c:v>
                </c:pt>
                <c:pt idx="144">
                  <c:v>1.5059616327376306E-2</c:v>
                </c:pt>
                <c:pt idx="145">
                  <c:v>1.5449347134393989E-2</c:v>
                </c:pt>
                <c:pt idx="146">
                  <c:v>1.5847579025359621E-2</c:v>
                </c:pt>
                <c:pt idx="147">
                  <c:v>1.6254450460599264E-2</c:v>
                </c:pt>
                <c:pt idx="148">
                  <c:v>1.6670100837379791E-2</c:v>
                </c:pt>
                <c:pt idx="149">
                  <c:v>1.7094670457495655E-2</c:v>
                </c:pt>
                <c:pt idx="150">
                  <c:v>1.7528300493567215E-2</c:v>
                </c:pt>
                <c:pt idx="151">
                  <c:v>1.7971132954038297E-2</c:v>
                </c:pt>
                <c:pt idx="152">
                  <c:v>1.8423310646860671E-2</c:v>
                </c:pt>
                <c:pt idx="153">
                  <c:v>1.8884977141854779E-2</c:v>
                </c:pt>
                <c:pt idx="154">
                  <c:v>1.9356276731735528E-2</c:v>
                </c:pt>
                <c:pt idx="155">
                  <c:v>1.9837354391793866E-2</c:v>
                </c:pt>
                <c:pt idx="156">
                  <c:v>2.0328355738224339E-2</c:v>
                </c:pt>
                <c:pt idx="157">
                  <c:v>2.0829426985090681E-2</c:v>
                </c:pt>
                <c:pt idx="158">
                  <c:v>2.1340714899921231E-2</c:v>
                </c:pt>
                <c:pt idx="159">
                  <c:v>2.1862366757927812E-2</c:v>
                </c:pt>
                <c:pt idx="160">
                  <c:v>2.2394530294841279E-2</c:v>
                </c:pt>
                <c:pt idx="161">
                  <c:v>2.2937353658359066E-2</c:v>
                </c:pt>
                <c:pt idx="162">
                  <c:v>2.3490985358199677E-2</c:v>
                </c:pt>
                <c:pt idx="163">
                  <c:v>2.4055574214761271E-2</c:v>
                </c:pt>
                <c:pt idx="164">
                  <c:v>2.4631269306380758E-2</c:v>
                </c:pt>
                <c:pt idx="165">
                  <c:v>2.5218219915192019E-2</c:v>
                </c:pt>
                <c:pt idx="166">
                  <c:v>2.5816575471585276E-2</c:v>
                </c:pt>
                <c:pt idx="167">
                  <c:v>2.6426485497259258E-2</c:v>
                </c:pt>
                <c:pt idx="168">
                  <c:v>2.7048099546879287E-2</c:v>
                </c:pt>
                <c:pt idx="169">
                  <c:v>2.7681567148334012E-2</c:v>
                </c:pt>
                <c:pt idx="170">
                  <c:v>2.8327037741598581E-2</c:v>
                </c:pt>
                <c:pt idx="171">
                  <c:v>2.8984660616206762E-2</c:v>
                </c:pt>
                <c:pt idx="172">
                  <c:v>2.9654584847338555E-2</c:v>
                </c:pt>
                <c:pt idx="173">
                  <c:v>3.0336959230528874E-2</c:v>
                </c:pt>
                <c:pt idx="174">
                  <c:v>3.1031932215005435E-2</c:v>
                </c:pt>
                <c:pt idx="175">
                  <c:v>3.1739651835664566E-2</c:v>
                </c:pt>
                <c:pt idx="176">
                  <c:v>3.246026564369453E-2</c:v>
                </c:pt>
                <c:pt idx="177">
                  <c:v>3.3193920635858153E-2</c:v>
                </c:pt>
                <c:pt idx="178">
                  <c:v>3.3940763182446168E-2</c:v>
                </c:pt>
                <c:pt idx="179">
                  <c:v>3.4700938953915753E-2</c:v>
                </c:pt>
                <c:pt idx="180">
                  <c:v>3.5474592846228309E-2</c:v>
                </c:pt>
                <c:pt idx="181">
                  <c:v>3.6261868904903051E-2</c:v>
                </c:pt>
                <c:pt idx="182">
                  <c:v>3.7062910247803241E-2</c:v>
                </c:pt>
                <c:pt idx="183">
                  <c:v>3.7877858986674201E-2</c:v>
                </c:pt>
                <c:pt idx="184">
                  <c:v>3.8706856147452257E-2</c:v>
                </c:pt>
                <c:pt idx="185">
                  <c:v>3.9550041589366813E-2</c:v>
                </c:pt>
                <c:pt idx="186">
                  <c:v>4.0407553922856845E-2</c:v>
                </c:pt>
                <c:pt idx="187">
                  <c:v>4.1279530426326899E-2</c:v>
                </c:pt>
                <c:pt idx="188">
                  <c:v>4.2166106961766738E-2</c:v>
                </c:pt>
                <c:pt idx="189">
                  <c:v>4.3067417889262105E-2</c:v>
                </c:pt>
                <c:pt idx="190">
                  <c:v>4.39835959804235E-2</c:v>
                </c:pt>
                <c:pt idx="191">
                  <c:v>4.4914772330763353E-2</c:v>
                </c:pt>
                <c:pt idx="192">
                  <c:v>4.5861076271051078E-2</c:v>
                </c:pt>
                <c:pt idx="193">
                  <c:v>4.6822635277679298E-2</c:v>
                </c:pt>
                <c:pt idx="194">
                  <c:v>4.7799574882073086E-2</c:v>
                </c:pt>
                <c:pt idx="195">
                  <c:v>4.8792018579178781E-2</c:v>
                </c:pt>
                <c:pt idx="196">
                  <c:v>4.9800087735066702E-2</c:v>
                </c:pt>
                <c:pt idx="197">
                  <c:v>5.0823901493687033E-2</c:v>
                </c:pt>
                <c:pt idx="198">
                  <c:v>5.1863576682816367E-2</c:v>
                </c:pt>
                <c:pt idx="199">
                  <c:v>5.291922771923601E-2</c:v>
                </c:pt>
                <c:pt idx="200">
                  <c:v>5.399096651318374E-2</c:v>
                </c:pt>
                <c:pt idx="201">
                  <c:v>5.5078902372121388E-2</c:v>
                </c:pt>
                <c:pt idx="202">
                  <c:v>5.6183141903863587E-2</c:v>
                </c:pt>
                <c:pt idx="203">
                  <c:v>5.7303788919112628E-2</c:v>
                </c:pt>
                <c:pt idx="204">
                  <c:v>5.844094433344689E-2</c:v>
                </c:pt>
                <c:pt idx="205">
                  <c:v>5.9594706068811433E-2</c:v>
                </c:pt>
                <c:pt idx="206">
                  <c:v>6.0765168954560071E-2</c:v>
                </c:pt>
                <c:pt idx="207">
                  <c:v>6.195242462810039E-2</c:v>
                </c:pt>
                <c:pt idx="208">
                  <c:v>6.3156561435193811E-2</c:v>
                </c:pt>
                <c:pt idx="209">
                  <c:v>6.4377664329964418E-2</c:v>
                </c:pt>
                <c:pt idx="210">
                  <c:v>6.5615814774671599E-2</c:v>
                </c:pt>
                <c:pt idx="211">
                  <c:v>6.6871090639302078E-2</c:v>
                </c:pt>
                <c:pt idx="212">
                  <c:v>6.8143566101038153E-2</c:v>
                </c:pt>
                <c:pt idx="213">
                  <c:v>6.9433311543667706E-2</c:v>
                </c:pt>
                <c:pt idx="214">
                  <c:v>7.0740393456976802E-2</c:v>
                </c:pt>
                <c:pt idx="215">
                  <c:v>7.2064874336211338E-2</c:v>
                </c:pt>
                <c:pt idx="216">
                  <c:v>7.3406812581650133E-2</c:v>
                </c:pt>
                <c:pt idx="217">
                  <c:v>7.4766262398360775E-2</c:v>
                </c:pt>
                <c:pt idx="218">
                  <c:v>7.6143273696200386E-2</c:v>
                </c:pt>
                <c:pt idx="219">
                  <c:v>7.7537891990126964E-2</c:v>
                </c:pt>
                <c:pt idx="220">
                  <c:v>7.8950158300887058E-2</c:v>
                </c:pt>
                <c:pt idx="221">
                  <c:v>8.0380109056146967E-2</c:v>
                </c:pt>
                <c:pt idx="222">
                  <c:v>8.1827775992135532E-2</c:v>
                </c:pt>
                <c:pt idx="223">
                  <c:v>8.3293186055867094E-2</c:v>
                </c:pt>
                <c:pt idx="224">
                  <c:v>8.4776361308014775E-2</c:v>
                </c:pt>
                <c:pt idx="225">
                  <c:v>8.6277318826503968E-2</c:v>
                </c:pt>
                <c:pt idx="226">
                  <c:v>8.7796070610898003E-2</c:v>
                </c:pt>
                <c:pt idx="227">
                  <c:v>8.933262348764727E-2</c:v>
                </c:pt>
                <c:pt idx="228">
                  <c:v>9.0886979016275071E-2</c:v>
                </c:pt>
                <c:pt idx="229">
                  <c:v>9.2459133396572774E-2</c:v>
                </c:pt>
                <c:pt idx="230">
                  <c:v>9.404907737687894E-2</c:v>
                </c:pt>
                <c:pt idx="231">
                  <c:v>9.5656796163515925E-2</c:v>
                </c:pt>
                <c:pt idx="232">
                  <c:v>9.7282269331459351E-2</c:v>
                </c:pt>
                <c:pt idx="233">
                  <c:v>9.8925470736315441E-2</c:v>
                </c:pt>
                <c:pt idx="234">
                  <c:v>0.1005863684276822</c:v>
                </c:pt>
                <c:pt idx="235">
                  <c:v>0.10226492456396954</c:v>
                </c:pt>
                <c:pt idx="236">
                  <c:v>0.10396109532875566</c:v>
                </c:pt>
                <c:pt idx="237">
                  <c:v>0.10567483084875499</c:v>
                </c:pt>
                <c:pt idx="238">
                  <c:v>0.10740607511347511</c:v>
                </c:pt>
                <c:pt idx="239">
                  <c:v>0.10915476589663858</c:v>
                </c:pt>
                <c:pt idx="240">
                  <c:v>0.11092083467944666</c:v>
                </c:pt>
                <c:pt idx="241">
                  <c:v>0.11270420657576159</c:v>
                </c:pt>
                <c:pt idx="242">
                  <c:v>0.11450480025928333</c:v>
                </c:pt>
                <c:pt idx="243">
                  <c:v>0.11632252789279797</c:v>
                </c:pt>
                <c:pt idx="244">
                  <c:v>0.11815729505957306</c:v>
                </c:pt>
                <c:pt idx="245">
                  <c:v>0.1200090006969763</c:v>
                </c:pt>
                <c:pt idx="246">
                  <c:v>0.12187753703239239</c:v>
                </c:pt>
                <c:pt idx="247">
                  <c:v>0.12376278952151368</c:v>
                </c:pt>
                <c:pt idx="248">
                  <c:v>0.1256646367890786</c:v>
                </c:pt>
                <c:pt idx="249">
                  <c:v>0.12758295057213223</c:v>
                </c:pt>
                <c:pt idx="250">
                  <c:v>0.12951759566588203</c:v>
                </c:pt>
                <c:pt idx="251">
                  <c:v>0.13146842987222127</c:v>
                </c:pt>
                <c:pt idx="252">
                  <c:v>0.13343530395099243</c:v>
                </c:pt>
                <c:pt idx="253">
                  <c:v>0.13541806157406133</c:v>
                </c:pt>
                <c:pt idx="254">
                  <c:v>0.13741653928227174</c:v>
                </c:pt>
                <c:pt idx="255">
                  <c:v>0.13943056644535018</c:v>
                </c:pt>
                <c:pt idx="256">
                  <c:v>0.14145996522482862</c:v>
                </c:pt>
                <c:pt idx="257">
                  <c:v>0.14350455054005218</c:v>
                </c:pt>
                <c:pt idx="258">
                  <c:v>0.14556413003733723</c:v>
                </c:pt>
                <c:pt idx="259">
                  <c:v>0.14763850406234322</c:v>
                </c:pt>
                <c:pt idx="260">
                  <c:v>0.14972746563573228</c:v>
                </c:pt>
                <c:pt idx="261">
                  <c:v>0.151830800432149</c:v>
                </c:pt>
                <c:pt idx="262">
                  <c:v>0.15394828676262096</c:v>
                </c:pt>
                <c:pt idx="263">
                  <c:v>0.15607969556040802</c:v>
                </c:pt>
                <c:pt idx="264">
                  <c:v>0.15822479037037013</c:v>
                </c:pt>
                <c:pt idx="265">
                  <c:v>0.16038332734190658</c:v>
                </c:pt>
                <c:pt idx="266">
                  <c:v>0.16255505522552108</c:v>
                </c:pt>
                <c:pt idx="267">
                  <c:v>0.16473971537306367</c:v>
                </c:pt>
                <c:pt idx="268">
                  <c:v>0.1669370417417006</c:v>
                </c:pt>
                <c:pt idx="269">
                  <c:v>0.16914676090165912</c:v>
                </c:pt>
                <c:pt idx="270">
                  <c:v>0.17136859204779401</c:v>
                </c:pt>
                <c:pt idx="271">
                  <c:v>0.17360224701501956</c:v>
                </c:pt>
                <c:pt idx="272">
                  <c:v>0.17584743029764888</c:v>
                </c:pt>
                <c:pt idx="273">
                  <c:v>0.17810383907268001</c:v>
                </c:pt>
                <c:pt idx="274">
                  <c:v>0.1803711632270667</c:v>
                </c:pt>
                <c:pt idx="275">
                  <c:v>0.18264908538900823</c:v>
                </c:pt>
                <c:pt idx="276">
                  <c:v>0.18493728096329157</c:v>
                </c:pt>
                <c:pt idx="277">
                  <c:v>0.18723541817071573</c:v>
                </c:pt>
                <c:pt idx="278">
                  <c:v>0.18954315809162636</c:v>
                </c:pt>
                <c:pt idx="279">
                  <c:v>0.19186015471358545</c:v>
                </c:pt>
                <c:pt idx="280">
                  <c:v>0.19418605498319899</c:v>
                </c:pt>
                <c:pt idx="281">
                  <c:v>0.19652049886212253</c:v>
                </c:pt>
                <c:pt idx="282">
                  <c:v>0.19886311938726184</c:v>
                </c:pt>
                <c:pt idx="283">
                  <c:v>0.20121354273518324</c:v>
                </c:pt>
                <c:pt idx="284">
                  <c:v>0.20357138829074525</c:v>
                </c:pt>
                <c:pt idx="285">
                  <c:v>0.20593626871996051</c:v>
                </c:pt>
                <c:pt idx="286">
                  <c:v>0.2083077900470941</c:v>
                </c:pt>
                <c:pt idx="287">
                  <c:v>0.21068555173600098</c:v>
                </c:pt>
                <c:pt idx="288">
                  <c:v>0.21306914677570354</c:v>
                </c:pt>
                <c:pt idx="289">
                  <c:v>0.21545816177020538</c:v>
                </c:pt>
                <c:pt idx="290">
                  <c:v>0.21785217703253615</c:v>
                </c:pt>
                <c:pt idx="291">
                  <c:v>0.22025076668301888</c:v>
                </c:pt>
                <c:pt idx="292">
                  <c:v>0.2226534987517467</c:v>
                </c:pt>
                <c:pt idx="293">
                  <c:v>0.22505993528525522</c:v>
                </c:pt>
                <c:pt idx="294">
                  <c:v>0.22746963245737142</c:v>
                </c:pt>
                <c:pt idx="295">
                  <c:v>0.22988214068421856</c:v>
                </c:pt>
                <c:pt idx="296">
                  <c:v>0.23229700474335171</c:v>
                </c:pt>
                <c:pt idx="297">
                  <c:v>0.2347137638969973</c:v>
                </c:pt>
                <c:pt idx="298">
                  <c:v>0.23713195201936507</c:v>
                </c:pt>
                <c:pt idx="299">
                  <c:v>0.23955109772799887</c:v>
                </c:pt>
                <c:pt idx="300">
                  <c:v>0.24197072451912885</c:v>
                </c:pt>
                <c:pt idx="301">
                  <c:v>0.24439035090698505</c:v>
                </c:pt>
                <c:pt idx="302">
                  <c:v>0.24680949056702819</c:v>
                </c:pt>
                <c:pt idx="303">
                  <c:v>0.24922765248305143</c:v>
                </c:pt>
                <c:pt idx="304">
                  <c:v>0.25164434109810263</c:v>
                </c:pt>
                <c:pt idx="305">
                  <c:v>0.25405905646917454</c:v>
                </c:pt>
                <c:pt idx="306">
                  <c:v>0.2564712944256059</c:v>
                </c:pt>
                <c:pt idx="307">
                  <c:v>0.25888054673113442</c:v>
                </c:pt>
                <c:pt idx="308">
                  <c:v>0.26128630124953872</c:v>
                </c:pt>
                <c:pt idx="309">
                  <c:v>0.26368804211380376</c:v>
                </c:pt>
                <c:pt idx="310">
                  <c:v>0.26608524989874049</c:v>
                </c:pt>
                <c:pt idx="311">
                  <c:v>0.26847740179698804</c:v>
                </c:pt>
                <c:pt idx="312">
                  <c:v>0.27086397179832372</c:v>
                </c:pt>
                <c:pt idx="313">
                  <c:v>0.27324443087220202</c:v>
                </c:pt>
                <c:pt idx="314">
                  <c:v>0.27561824715344246</c:v>
                </c:pt>
                <c:pt idx="315">
                  <c:v>0.27798488613098227</c:v>
                </c:pt>
                <c:pt idx="316">
                  <c:v>0.28034381083960641</c:v>
                </c:pt>
                <c:pt idx="317">
                  <c:v>0.28269448205456615</c:v>
                </c:pt>
                <c:pt idx="318">
                  <c:v>0.28503635848899322</c:v>
                </c:pt>
                <c:pt idx="319">
                  <c:v>0.28736889699401436</c:v>
                </c:pt>
                <c:pt idx="320">
                  <c:v>0.28969155276146885</c:v>
                </c:pt>
                <c:pt idx="321">
                  <c:v>0.29200377952912759</c:v>
                </c:pt>
                <c:pt idx="322">
                  <c:v>0.29430502978831136</c:v>
                </c:pt>
                <c:pt idx="323">
                  <c:v>0.29659475499380206</c:v>
                </c:pt>
                <c:pt idx="324">
                  <c:v>0.29887240577593915</c:v>
                </c:pt>
                <c:pt idx="325">
                  <c:v>0.30113743215479088</c:v>
                </c:pt>
                <c:pt idx="326">
                  <c:v>0.30338928375628665</c:v>
                </c:pt>
                <c:pt idx="327">
                  <c:v>0.30562741003019656</c:v>
                </c:pt>
                <c:pt idx="328">
                  <c:v>0.30785126046983963</c:v>
                </c:pt>
                <c:pt idx="329">
                  <c:v>0.31006028483340292</c:v>
                </c:pt>
                <c:pt idx="330">
                  <c:v>0.31225393336674817</c:v>
                </c:pt>
                <c:pt idx="331">
                  <c:v>0.3144316570275843</c:v>
                </c:pt>
                <c:pt idx="332">
                  <c:v>0.31659290771087989</c:v>
                </c:pt>
                <c:pt idx="333">
                  <c:v>0.3187371384753887</c:v>
                </c:pt>
                <c:pt idx="334">
                  <c:v>0.32086380377115981</c:v>
                </c:pt>
                <c:pt idx="335">
                  <c:v>0.32297235966790172</c:v>
                </c:pt>
                <c:pt idx="336">
                  <c:v>0.32506226408406969</c:v>
                </c:pt>
                <c:pt idx="337">
                  <c:v>0.32713297701654215</c:v>
                </c:pt>
                <c:pt idx="338">
                  <c:v>0.32918396077075257</c:v>
                </c:pt>
                <c:pt idx="339">
                  <c:v>0.33121468019114081</c:v>
                </c:pt>
                <c:pt idx="340">
                  <c:v>0.33322460289178762</c:v>
                </c:pt>
                <c:pt idx="341">
                  <c:v>0.33521319948709422</c:v>
                </c:pt>
                <c:pt idx="342">
                  <c:v>0.33717994382236882</c:v>
                </c:pt>
                <c:pt idx="343">
                  <c:v>0.33912431320418063</c:v>
                </c:pt>
                <c:pt idx="344">
                  <c:v>0.34104578863034107</c:v>
                </c:pt>
                <c:pt idx="345">
                  <c:v>0.34294385501937258</c:v>
                </c:pt>
                <c:pt idx="346">
                  <c:v>0.34481800143932217</c:v>
                </c:pt>
                <c:pt idx="347">
                  <c:v>0.34666772133578061</c:v>
                </c:pt>
                <c:pt idx="348">
                  <c:v>0.34849251275896381</c:v>
                </c:pt>
                <c:pt idx="349">
                  <c:v>0.35029187858971528</c:v>
                </c:pt>
                <c:pt idx="350">
                  <c:v>0.35206532676428909</c:v>
                </c:pt>
                <c:pt idx="351">
                  <c:v>0.35381237049776948</c:v>
                </c:pt>
                <c:pt idx="352">
                  <c:v>0.35553252850598704</c:v>
                </c:pt>
                <c:pt idx="353">
                  <c:v>0.35722532522579092</c:v>
                </c:pt>
                <c:pt idx="354">
                  <c:v>0.35889029103353487</c:v>
                </c:pt>
                <c:pt idx="355">
                  <c:v>0.3605269624616384</c:v>
                </c:pt>
                <c:pt idx="356">
                  <c:v>0.36213488241308284</c:v>
                </c:pt>
                <c:pt idx="357">
                  <c:v>0.3637136003737042</c:v>
                </c:pt>
                <c:pt idx="358">
                  <c:v>0.36526267262214485</c:v>
                </c:pt>
                <c:pt idx="359">
                  <c:v>0.36678166243732724</c:v>
                </c:pt>
                <c:pt idx="360">
                  <c:v>0.36827014030331462</c:v>
                </c:pt>
                <c:pt idx="361">
                  <c:v>0.36972768411142387</c:v>
                </c:pt>
                <c:pt idx="362">
                  <c:v>0.37115387935945771</c:v>
                </c:pt>
                <c:pt idx="363">
                  <c:v>0.37254831934792532</c:v>
                </c:pt>
                <c:pt idx="364">
                  <c:v>0.37391060537312043</c:v>
                </c:pt>
                <c:pt idx="365">
                  <c:v>0.37524034691693015</c:v>
                </c:pt>
                <c:pt idx="366">
                  <c:v>0.37653716183324643</c:v>
                </c:pt>
                <c:pt idx="367">
                  <c:v>0.37780067653085725</c:v>
                </c:pt>
                <c:pt idx="368">
                  <c:v>0.37903052615269456</c:v>
                </c:pt>
                <c:pt idx="369">
                  <c:v>0.38022635475131794</c:v>
                </c:pt>
                <c:pt idx="370">
                  <c:v>0.38138781546051737</c:v>
                </c:pt>
                <c:pt idx="371">
                  <c:v>0.3825145706629175</c:v>
                </c:pt>
                <c:pt idx="372">
                  <c:v>0.38360629215347219</c:v>
                </c:pt>
                <c:pt idx="373">
                  <c:v>0.38466266129873666</c:v>
                </c:pt>
                <c:pt idx="374">
                  <c:v>0.38568336919181018</c:v>
                </c:pt>
                <c:pt idx="375">
                  <c:v>0.38666811680284352</c:v>
                </c:pt>
                <c:pt idx="376">
                  <c:v>0.38761661512500867</c:v>
                </c:pt>
                <c:pt idx="377">
                  <c:v>0.38852858531583062</c:v>
                </c:pt>
                <c:pt idx="378">
                  <c:v>0.38940375883378536</c:v>
                </c:pt>
                <c:pt idx="379">
                  <c:v>0.39024187757006945</c:v>
                </c:pt>
                <c:pt idx="380">
                  <c:v>0.39104269397545127</c:v>
                </c:pt>
                <c:pt idx="381">
                  <c:v>0.39180597118211674</c:v>
                </c:pt>
                <c:pt idx="382">
                  <c:v>0.39253148312042474</c:v>
                </c:pt>
                <c:pt idx="383">
                  <c:v>0.39321901463049325</c:v>
                </c:pt>
                <c:pt idx="384">
                  <c:v>0.39386836156853711</c:v>
                </c:pt>
                <c:pt idx="385">
                  <c:v>0.39447933090788545</c:v>
                </c:pt>
                <c:pt idx="386">
                  <c:v>0.39505174083460798</c:v>
                </c:pt>
                <c:pt idx="387">
                  <c:v>0.39558542083768439</c:v>
                </c:pt>
                <c:pt idx="388">
                  <c:v>0.39608021179365327</c:v>
                </c:pt>
                <c:pt idx="389">
                  <c:v>0.3965359660456832</c:v>
                </c:pt>
                <c:pt idx="390">
                  <c:v>0.39695254747700942</c:v>
                </c:pt>
                <c:pt idx="391">
                  <c:v>0.39732983157868623</c:v>
                </c:pt>
                <c:pt idx="392">
                  <c:v>0.39766770551160702</c:v>
                </c:pt>
                <c:pt idx="393">
                  <c:v>0.39796606816274938</c:v>
                </c:pt>
                <c:pt idx="394">
                  <c:v>0.39822483019560551</c:v>
                </c:pt>
                <c:pt idx="395">
                  <c:v>0.39844391409476287</c:v>
                </c:pt>
                <c:pt idx="396">
                  <c:v>0.39862325420460409</c:v>
                </c:pt>
                <c:pt idx="397">
                  <c:v>0.39876279676209903</c:v>
                </c:pt>
                <c:pt idx="398">
                  <c:v>0.39886249992366563</c:v>
                </c:pt>
                <c:pt idx="399">
                  <c:v>0.39892233378608194</c:v>
                </c:pt>
                <c:pt idx="400">
                  <c:v>0.3989422804014327</c:v>
                </c:pt>
                <c:pt idx="401">
                  <c:v>0.39892233378608216</c:v>
                </c:pt>
                <c:pt idx="402">
                  <c:v>0.39886249992366613</c:v>
                </c:pt>
                <c:pt idx="403">
                  <c:v>0.39876279676209969</c:v>
                </c:pt>
                <c:pt idx="404">
                  <c:v>0.39862325420460504</c:v>
                </c:pt>
                <c:pt idx="405">
                  <c:v>0.39844391409476404</c:v>
                </c:pt>
                <c:pt idx="406">
                  <c:v>0.39822483019560695</c:v>
                </c:pt>
                <c:pt idx="407">
                  <c:v>0.39796606816275104</c:v>
                </c:pt>
                <c:pt idx="408">
                  <c:v>0.39766770551160885</c:v>
                </c:pt>
                <c:pt idx="409">
                  <c:v>0.39732983157868834</c:v>
                </c:pt>
                <c:pt idx="410">
                  <c:v>0.39695254747701181</c:v>
                </c:pt>
                <c:pt idx="411">
                  <c:v>0.39653596604568575</c:v>
                </c:pt>
                <c:pt idx="412">
                  <c:v>0.3960802117936561</c:v>
                </c:pt>
                <c:pt idx="413">
                  <c:v>0.39558542083768738</c:v>
                </c:pt>
                <c:pt idx="414">
                  <c:v>0.39505174083461125</c:v>
                </c:pt>
                <c:pt idx="415">
                  <c:v>0.39447933090788895</c:v>
                </c:pt>
                <c:pt idx="416">
                  <c:v>0.39386836156854083</c:v>
                </c:pt>
                <c:pt idx="417">
                  <c:v>0.39321901463049719</c:v>
                </c:pt>
                <c:pt idx="418">
                  <c:v>0.3925314831204289</c:v>
                </c:pt>
                <c:pt idx="419">
                  <c:v>0.39180597118212113</c:v>
                </c:pt>
                <c:pt idx="420">
                  <c:v>0.39104269397545588</c:v>
                </c:pt>
                <c:pt idx="421">
                  <c:v>0.39024187757007428</c:v>
                </c:pt>
                <c:pt idx="422">
                  <c:v>0.38940375883379041</c:v>
                </c:pt>
                <c:pt idx="423">
                  <c:v>0.38852858531583589</c:v>
                </c:pt>
                <c:pt idx="424">
                  <c:v>0.38761661512501416</c:v>
                </c:pt>
                <c:pt idx="425">
                  <c:v>0.38666811680284924</c:v>
                </c:pt>
                <c:pt idx="426">
                  <c:v>0.38568336919181612</c:v>
                </c:pt>
                <c:pt idx="427">
                  <c:v>0.38466266129874283</c:v>
                </c:pt>
                <c:pt idx="428">
                  <c:v>0.38360629215347858</c:v>
                </c:pt>
                <c:pt idx="429">
                  <c:v>0.38251457066292405</c:v>
                </c:pt>
                <c:pt idx="430">
                  <c:v>0.38138781546052414</c:v>
                </c:pt>
                <c:pt idx="431">
                  <c:v>0.38022635475132494</c:v>
                </c:pt>
                <c:pt idx="432">
                  <c:v>0.37903052615270166</c:v>
                </c:pt>
                <c:pt idx="433">
                  <c:v>0.37780067653086458</c:v>
                </c:pt>
                <c:pt idx="434">
                  <c:v>0.37653716183325392</c:v>
                </c:pt>
                <c:pt idx="435">
                  <c:v>0.37524034691693792</c:v>
                </c:pt>
                <c:pt idx="436">
                  <c:v>0.37391060537312842</c:v>
                </c:pt>
                <c:pt idx="437">
                  <c:v>0.37254831934793342</c:v>
                </c:pt>
                <c:pt idx="438">
                  <c:v>0.37115387935946603</c:v>
                </c:pt>
                <c:pt idx="439">
                  <c:v>0.36972768411143236</c:v>
                </c:pt>
                <c:pt idx="440">
                  <c:v>0.36827014030332333</c:v>
                </c:pt>
                <c:pt idx="441">
                  <c:v>0.36678166243733612</c:v>
                </c:pt>
                <c:pt idx="442">
                  <c:v>0.36526267262215389</c:v>
                </c:pt>
                <c:pt idx="443">
                  <c:v>0.36371360037371342</c:v>
                </c:pt>
                <c:pt idx="444">
                  <c:v>0.36213488241309222</c:v>
                </c:pt>
                <c:pt idx="445">
                  <c:v>0.36052696246164795</c:v>
                </c:pt>
                <c:pt idx="446">
                  <c:v>0.35889029103354464</c:v>
                </c:pt>
                <c:pt idx="447">
                  <c:v>0.35722532522580086</c:v>
                </c:pt>
                <c:pt idx="448">
                  <c:v>0.35553252850599709</c:v>
                </c:pt>
                <c:pt idx="449">
                  <c:v>0.35381237049777969</c:v>
                </c:pt>
                <c:pt idx="450">
                  <c:v>0.35206532676429952</c:v>
                </c:pt>
                <c:pt idx="451">
                  <c:v>0.35029187858972582</c:v>
                </c:pt>
                <c:pt idx="452">
                  <c:v>0.34849251275897447</c:v>
                </c:pt>
                <c:pt idx="453">
                  <c:v>0.34666772133579166</c:v>
                </c:pt>
                <c:pt idx="454">
                  <c:v>0.34481800143933333</c:v>
                </c:pt>
                <c:pt idx="455">
                  <c:v>0.3429438550193839</c:v>
                </c:pt>
                <c:pt idx="456">
                  <c:v>0.34104578863035256</c:v>
                </c:pt>
                <c:pt idx="457">
                  <c:v>0.33912431320419223</c:v>
                </c:pt>
                <c:pt idx="458">
                  <c:v>0.33717994382238059</c:v>
                </c:pt>
                <c:pt idx="459">
                  <c:v>0.33521319948710609</c:v>
                </c:pt>
                <c:pt idx="460">
                  <c:v>0.33322460289179967</c:v>
                </c:pt>
                <c:pt idx="461">
                  <c:v>0.33121468019115297</c:v>
                </c:pt>
                <c:pt idx="462">
                  <c:v>0.32918396077076478</c:v>
                </c:pt>
                <c:pt idx="463">
                  <c:v>0.32713297701655447</c:v>
                </c:pt>
                <c:pt idx="464">
                  <c:v>0.32506226408408218</c:v>
                </c:pt>
                <c:pt idx="465">
                  <c:v>0.32297235966791427</c:v>
                </c:pt>
                <c:pt idx="466">
                  <c:v>0.32086380377117252</c:v>
                </c:pt>
                <c:pt idx="467">
                  <c:v>0.31873713847540153</c:v>
                </c:pt>
                <c:pt idx="468">
                  <c:v>0.31659290771089277</c:v>
                </c:pt>
                <c:pt idx="469">
                  <c:v>0.31443165702759734</c:v>
                </c:pt>
                <c:pt idx="470">
                  <c:v>0.31225393336676127</c:v>
                </c:pt>
                <c:pt idx="471">
                  <c:v>0.31006028483341613</c:v>
                </c:pt>
                <c:pt idx="472">
                  <c:v>0.30785126046985295</c:v>
                </c:pt>
                <c:pt idx="473">
                  <c:v>0.30562741003020988</c:v>
                </c:pt>
                <c:pt idx="474">
                  <c:v>0.30338928375630014</c:v>
                </c:pt>
                <c:pt idx="475">
                  <c:v>0.30113743215480443</c:v>
                </c:pt>
                <c:pt idx="476">
                  <c:v>0.29887240577595275</c:v>
                </c:pt>
                <c:pt idx="477">
                  <c:v>0.29659475499381571</c:v>
                </c:pt>
                <c:pt idx="478">
                  <c:v>0.29430502978832512</c:v>
                </c:pt>
                <c:pt idx="479">
                  <c:v>0.29200377952914142</c:v>
                </c:pt>
                <c:pt idx="480">
                  <c:v>0.28969155276148273</c:v>
                </c:pt>
                <c:pt idx="481">
                  <c:v>0.28736889699402829</c:v>
                </c:pt>
                <c:pt idx="482">
                  <c:v>0.28503635848900727</c:v>
                </c:pt>
                <c:pt idx="483">
                  <c:v>0.28269448205458025</c:v>
                </c:pt>
                <c:pt idx="484">
                  <c:v>0.28034381083962062</c:v>
                </c:pt>
                <c:pt idx="485">
                  <c:v>0.27798488613099648</c:v>
                </c:pt>
                <c:pt idx="486">
                  <c:v>0.27561824715345667</c:v>
                </c:pt>
                <c:pt idx="487">
                  <c:v>0.27324443087221623</c:v>
                </c:pt>
                <c:pt idx="488">
                  <c:v>0.27086397179833799</c:v>
                </c:pt>
                <c:pt idx="489">
                  <c:v>0.26847740179700241</c:v>
                </c:pt>
                <c:pt idx="490">
                  <c:v>0.26608524989875482</c:v>
                </c:pt>
                <c:pt idx="491">
                  <c:v>0.26368804211381813</c:v>
                </c:pt>
                <c:pt idx="492">
                  <c:v>0.26128630124955315</c:v>
                </c:pt>
                <c:pt idx="493">
                  <c:v>0.2588805467311488</c:v>
                </c:pt>
                <c:pt idx="494">
                  <c:v>0.25647129442562033</c:v>
                </c:pt>
                <c:pt idx="495">
                  <c:v>0.25405905646918903</c:v>
                </c:pt>
                <c:pt idx="496">
                  <c:v>0.25164434109811712</c:v>
                </c:pt>
                <c:pt idx="497">
                  <c:v>0.24922765248306594</c:v>
                </c:pt>
                <c:pt idx="498">
                  <c:v>0.24680949056704274</c:v>
                </c:pt>
                <c:pt idx="499">
                  <c:v>0.24439035090699956</c:v>
                </c:pt>
                <c:pt idx="500">
                  <c:v>0.24197072451914337</c:v>
                </c:pt>
                <c:pt idx="501">
                  <c:v>0.23955109772801336</c:v>
                </c:pt>
                <c:pt idx="502">
                  <c:v>0.23713195201937959</c:v>
                </c:pt>
                <c:pt idx="503">
                  <c:v>0.23471376389701182</c:v>
                </c:pt>
                <c:pt idx="504">
                  <c:v>0.2322970047433662</c:v>
                </c:pt>
                <c:pt idx="505">
                  <c:v>0.22988214068423302</c:v>
                </c:pt>
                <c:pt idx="506">
                  <c:v>0.22746963245738591</c:v>
                </c:pt>
                <c:pt idx="507">
                  <c:v>0.22505993528526966</c:v>
                </c:pt>
                <c:pt idx="508">
                  <c:v>0.22265349875176113</c:v>
                </c:pt>
                <c:pt idx="509">
                  <c:v>0.22025076668303326</c:v>
                </c:pt>
                <c:pt idx="510">
                  <c:v>0.21785217703255053</c:v>
                </c:pt>
                <c:pt idx="511">
                  <c:v>0.21545816177021967</c:v>
                </c:pt>
                <c:pt idx="512">
                  <c:v>0.21306914677571784</c:v>
                </c:pt>
                <c:pt idx="513">
                  <c:v>0.21068555173601533</c:v>
                </c:pt>
                <c:pt idx="514">
                  <c:v>0.20830779004710837</c:v>
                </c:pt>
                <c:pt idx="515">
                  <c:v>0.20593626871997478</c:v>
                </c:pt>
                <c:pt idx="516">
                  <c:v>0.20357138829075944</c:v>
                </c:pt>
                <c:pt idx="517">
                  <c:v>0.2012135427351974</c:v>
                </c:pt>
                <c:pt idx="518">
                  <c:v>0.19886311938727591</c:v>
                </c:pt>
                <c:pt idx="519">
                  <c:v>0.19652049886213654</c:v>
                </c:pt>
                <c:pt idx="520">
                  <c:v>0.19418605498321295</c:v>
                </c:pt>
                <c:pt idx="521">
                  <c:v>0.19186015471359938</c:v>
                </c:pt>
                <c:pt idx="522">
                  <c:v>0.18954315809164024</c:v>
                </c:pt>
                <c:pt idx="523">
                  <c:v>0.18723541817072956</c:v>
                </c:pt>
                <c:pt idx="524">
                  <c:v>0.18493728096330531</c:v>
                </c:pt>
                <c:pt idx="525">
                  <c:v>0.18264908538902191</c:v>
                </c:pt>
                <c:pt idx="526">
                  <c:v>0.18037116322708033</c:v>
                </c:pt>
                <c:pt idx="527">
                  <c:v>0.17810383907269359</c:v>
                </c:pt>
                <c:pt idx="528">
                  <c:v>0.17584743029766237</c:v>
                </c:pt>
                <c:pt idx="529">
                  <c:v>0.17360224701503299</c:v>
                </c:pt>
                <c:pt idx="530">
                  <c:v>0.17136859204780736</c:v>
                </c:pt>
                <c:pt idx="531">
                  <c:v>0.16914676090167238</c:v>
                </c:pt>
                <c:pt idx="532">
                  <c:v>0.16693704174171381</c:v>
                </c:pt>
                <c:pt idx="533">
                  <c:v>0.1647397153730768</c:v>
                </c:pt>
                <c:pt idx="534">
                  <c:v>0.16255505522553412</c:v>
                </c:pt>
                <c:pt idx="535">
                  <c:v>0.1603833273419196</c:v>
                </c:pt>
                <c:pt idx="536">
                  <c:v>0.15822479037038303</c:v>
                </c:pt>
                <c:pt idx="537">
                  <c:v>0.15607969556042084</c:v>
                </c:pt>
                <c:pt idx="538">
                  <c:v>0.15394828676263372</c:v>
                </c:pt>
                <c:pt idx="539">
                  <c:v>0.15183080043216168</c:v>
                </c:pt>
                <c:pt idx="540">
                  <c:v>0.14972746563574488</c:v>
                </c:pt>
                <c:pt idx="541">
                  <c:v>0.14763850406235574</c:v>
                </c:pt>
                <c:pt idx="542">
                  <c:v>0.14556413003734761</c:v>
                </c:pt>
                <c:pt idx="543">
                  <c:v>0.14350455054006242</c:v>
                </c:pt>
                <c:pt idx="544">
                  <c:v>0.14145996522483878</c:v>
                </c:pt>
                <c:pt idx="545">
                  <c:v>0.13943056644536028</c:v>
                </c:pt>
                <c:pt idx="546">
                  <c:v>0.13741653928228179</c:v>
                </c:pt>
                <c:pt idx="547">
                  <c:v>0.1354180615740713</c:v>
                </c:pt>
                <c:pt idx="548">
                  <c:v>0.13343530395100231</c:v>
                </c:pt>
                <c:pt idx="549">
                  <c:v>0.13146842987223104</c:v>
                </c:pt>
                <c:pt idx="550">
                  <c:v>0.12951759566589174</c:v>
                </c:pt>
                <c:pt idx="551">
                  <c:v>0.12758295057214186</c:v>
                </c:pt>
                <c:pt idx="552">
                  <c:v>0.12566463678908815</c:v>
                </c:pt>
                <c:pt idx="553">
                  <c:v>0.12376278952152313</c:v>
                </c:pt>
                <c:pt idx="554">
                  <c:v>0.12187753703240178</c:v>
                </c:pt>
                <c:pt idx="555">
                  <c:v>0.12000900069698558</c:v>
                </c:pt>
                <c:pt idx="556">
                  <c:v>0.11815729505958227</c:v>
                </c:pt>
                <c:pt idx="557">
                  <c:v>0.11632252789280709</c:v>
                </c:pt>
                <c:pt idx="558">
                  <c:v>0.11450480025929236</c:v>
                </c:pt>
                <c:pt idx="559">
                  <c:v>0.11270420657577056</c:v>
                </c:pt>
                <c:pt idx="560">
                  <c:v>0.11092083467945554</c:v>
                </c:pt>
                <c:pt idx="561">
                  <c:v>0.10915476589664735</c:v>
                </c:pt>
                <c:pt idx="562">
                  <c:v>0.1074060751134838</c:v>
                </c:pt>
                <c:pt idx="563">
                  <c:v>0.10567483084876363</c:v>
                </c:pt>
                <c:pt idx="564">
                  <c:v>0.10396109532876423</c:v>
                </c:pt>
                <c:pt idx="565">
                  <c:v>0.10226492456397804</c:v>
                </c:pt>
                <c:pt idx="566">
                  <c:v>0.10058636842769057</c:v>
                </c:pt>
                <c:pt idx="567">
                  <c:v>9.8925470736323712E-2</c:v>
                </c:pt>
                <c:pt idx="568">
                  <c:v>9.7282269331467511E-2</c:v>
                </c:pt>
                <c:pt idx="569">
                  <c:v>9.5656796163524016E-2</c:v>
                </c:pt>
                <c:pt idx="570">
                  <c:v>9.4049077376886947E-2</c:v>
                </c:pt>
                <c:pt idx="571">
                  <c:v>9.2459133396580684E-2</c:v>
                </c:pt>
                <c:pt idx="572">
                  <c:v>9.0886979016282871E-2</c:v>
                </c:pt>
                <c:pt idx="573">
                  <c:v>8.9332623487655E-2</c:v>
                </c:pt>
                <c:pt idx="574">
                  <c:v>8.7796070610905622E-2</c:v>
                </c:pt>
                <c:pt idx="575">
                  <c:v>8.6277318826511532E-2</c:v>
                </c:pt>
                <c:pt idx="576">
                  <c:v>8.4776361308022227E-2</c:v>
                </c:pt>
                <c:pt idx="577">
                  <c:v>8.3293186055874463E-2</c:v>
                </c:pt>
                <c:pt idx="578">
                  <c:v>8.1827775992142804E-2</c:v>
                </c:pt>
                <c:pt idx="579">
                  <c:v>8.038010905615417E-2</c:v>
                </c:pt>
                <c:pt idx="580">
                  <c:v>7.8950158300894149E-2</c:v>
                </c:pt>
                <c:pt idx="581">
                  <c:v>7.7537891990133986E-2</c:v>
                </c:pt>
                <c:pt idx="582">
                  <c:v>7.6143273696207311E-2</c:v>
                </c:pt>
                <c:pt idx="583">
                  <c:v>7.4766262398367603E-2</c:v>
                </c:pt>
                <c:pt idx="584">
                  <c:v>7.3406812581656891E-2</c:v>
                </c:pt>
                <c:pt idx="585">
                  <c:v>7.2064874336217985E-2</c:v>
                </c:pt>
                <c:pt idx="586">
                  <c:v>7.074039345698338E-2</c:v>
                </c:pt>
                <c:pt idx="587">
                  <c:v>6.9433311543674187E-2</c:v>
                </c:pt>
                <c:pt idx="588">
                  <c:v>6.8143566101044578E-2</c:v>
                </c:pt>
                <c:pt idx="589">
                  <c:v>6.6871090639307157E-2</c:v>
                </c:pt>
                <c:pt idx="590">
                  <c:v>6.5615814774676595E-2</c:v>
                </c:pt>
                <c:pt idx="591">
                  <c:v>6.4377664329969359E-2</c:v>
                </c:pt>
                <c:pt idx="592">
                  <c:v>6.3156561435198655E-2</c:v>
                </c:pt>
                <c:pt idx="593">
                  <c:v>6.1952424628105164E-2</c:v>
                </c:pt>
                <c:pt idx="594">
                  <c:v>6.0765168954564776E-2</c:v>
                </c:pt>
                <c:pt idx="595">
                  <c:v>5.9594706068816075E-2</c:v>
                </c:pt>
                <c:pt idx="596">
                  <c:v>5.8440944333451469E-2</c:v>
                </c:pt>
                <c:pt idx="597">
                  <c:v>5.7303788919117131E-2</c:v>
                </c:pt>
                <c:pt idx="598">
                  <c:v>5.6183141903868049E-2</c:v>
                </c:pt>
                <c:pt idx="599">
                  <c:v>5.5078902372125767E-2</c:v>
                </c:pt>
                <c:pt idx="600">
                  <c:v>5.3990966513188063E-2</c:v>
                </c:pt>
                <c:pt idx="601">
                  <c:v>5.2919227719240312E-2</c:v>
                </c:pt>
                <c:pt idx="602">
                  <c:v>5.1863576682820565E-2</c:v>
                </c:pt>
                <c:pt idx="603">
                  <c:v>5.0823901493691204E-2</c:v>
                </c:pt>
                <c:pt idx="604">
                  <c:v>4.9800087735070775E-2</c:v>
                </c:pt>
                <c:pt idx="605">
                  <c:v>4.8792018579182764E-2</c:v>
                </c:pt>
                <c:pt idx="606">
                  <c:v>4.7799574882077034E-2</c:v>
                </c:pt>
                <c:pt idx="607">
                  <c:v>4.6822635277683163E-2</c:v>
                </c:pt>
                <c:pt idx="608">
                  <c:v>4.5861076271054887E-2</c:v>
                </c:pt>
                <c:pt idx="609">
                  <c:v>4.49147723307671E-2</c:v>
                </c:pt>
                <c:pt idx="610">
                  <c:v>4.3983595980427191E-2</c:v>
                </c:pt>
                <c:pt idx="611">
                  <c:v>4.3067417889265734E-2</c:v>
                </c:pt>
                <c:pt idx="612">
                  <c:v>4.2166106961770311E-2</c:v>
                </c:pt>
                <c:pt idx="613">
                  <c:v>4.1279530426330417E-2</c:v>
                </c:pt>
                <c:pt idx="614">
                  <c:v>4.0407553922860308E-2</c:v>
                </c:pt>
                <c:pt idx="615">
                  <c:v>3.955004158937022E-2</c:v>
                </c:pt>
                <c:pt idx="616">
                  <c:v>3.8706856147455608E-2</c:v>
                </c:pt>
                <c:pt idx="617">
                  <c:v>3.7877858986677483E-2</c:v>
                </c:pt>
                <c:pt idx="618">
                  <c:v>3.7062910247806474E-2</c:v>
                </c:pt>
                <c:pt idx="619">
                  <c:v>3.6261868904906222E-2</c:v>
                </c:pt>
                <c:pt idx="620">
                  <c:v>3.5474592846231424E-2</c:v>
                </c:pt>
                <c:pt idx="621">
                  <c:v>3.470093895391882E-2</c:v>
                </c:pt>
                <c:pt idx="622">
                  <c:v>3.3940763182449186E-2</c:v>
                </c:pt>
                <c:pt idx="623">
                  <c:v>3.3193920635861122E-2</c:v>
                </c:pt>
                <c:pt idx="624">
                  <c:v>3.2460265643697445E-2</c:v>
                </c:pt>
                <c:pt idx="625">
                  <c:v>3.1739651835667418E-2</c:v>
                </c:pt>
                <c:pt idx="626">
                  <c:v>3.103193221500827E-2</c:v>
                </c:pt>
                <c:pt idx="627">
                  <c:v>3.0336959230531636E-2</c:v>
                </c:pt>
                <c:pt idx="628">
                  <c:v>2.9654584847341278E-2</c:v>
                </c:pt>
                <c:pt idx="629">
                  <c:v>2.8984660616209412E-2</c:v>
                </c:pt>
                <c:pt idx="630">
                  <c:v>2.8327037741601186E-2</c:v>
                </c:pt>
                <c:pt idx="631">
                  <c:v>2.7681567148336573E-2</c:v>
                </c:pt>
                <c:pt idx="632">
                  <c:v>2.7048099546881785E-2</c:v>
                </c:pt>
                <c:pt idx="633">
                  <c:v>2.6426485497261721E-2</c:v>
                </c:pt>
                <c:pt idx="634">
                  <c:v>2.581657547158769E-2</c:v>
                </c:pt>
                <c:pt idx="635">
                  <c:v>2.5218219915194382E-2</c:v>
                </c:pt>
                <c:pt idx="636">
                  <c:v>2.4631269306382507E-2</c:v>
                </c:pt>
                <c:pt idx="637">
                  <c:v>2.4055574214762971E-2</c:v>
                </c:pt>
                <c:pt idx="638">
                  <c:v>2.3490985358201363E-2</c:v>
                </c:pt>
                <c:pt idx="639">
                  <c:v>2.2937353658360693E-2</c:v>
                </c:pt>
                <c:pt idx="640">
                  <c:v>2.2394530294842899E-2</c:v>
                </c:pt>
                <c:pt idx="641">
                  <c:v>2.1862366757929387E-2</c:v>
                </c:pt>
                <c:pt idx="642">
                  <c:v>2.1340714899922782E-2</c:v>
                </c:pt>
                <c:pt idx="643">
                  <c:v>2.0829426985092186E-2</c:v>
                </c:pt>
                <c:pt idx="644">
                  <c:v>2.0328355738225837E-2</c:v>
                </c:pt>
                <c:pt idx="645">
                  <c:v>1.9837354391795313E-2</c:v>
                </c:pt>
                <c:pt idx="646">
                  <c:v>1.9356276731736961E-2</c:v>
                </c:pt>
                <c:pt idx="647">
                  <c:v>1.8884977141856163E-2</c:v>
                </c:pt>
                <c:pt idx="648">
                  <c:v>1.8423310646862048E-2</c:v>
                </c:pt>
                <c:pt idx="649">
                  <c:v>1.7971132954039633E-2</c:v>
                </c:pt>
                <c:pt idx="650">
                  <c:v>1.752830049356854E-2</c:v>
                </c:pt>
                <c:pt idx="651">
                  <c:v>1.7094670457496956E-2</c:v>
                </c:pt>
                <c:pt idx="652">
                  <c:v>1.6670100837381057E-2</c:v>
                </c:pt>
                <c:pt idx="653">
                  <c:v>1.6254450460600506E-2</c:v>
                </c:pt>
                <c:pt idx="654">
                  <c:v>1.5847579025360818E-2</c:v>
                </c:pt>
                <c:pt idx="655">
                  <c:v>1.5449347134395174E-2</c:v>
                </c:pt>
                <c:pt idx="656">
                  <c:v>1.5059616327377449E-2</c:v>
                </c:pt>
                <c:pt idx="657">
                  <c:v>1.4678249112060044E-2</c:v>
                </c:pt>
                <c:pt idx="658">
                  <c:v>1.430510899414969E-2</c:v>
                </c:pt>
                <c:pt idx="659">
                  <c:v>1.3940060505935825E-2</c:v>
                </c:pt>
                <c:pt idx="660">
                  <c:v>1.3582969233685613E-2</c:v>
                </c:pt>
                <c:pt idx="661">
                  <c:v>1.3233701843821374E-2</c:v>
                </c:pt>
                <c:pt idx="662">
                  <c:v>1.2892126107895304E-2</c:v>
                </c:pt>
                <c:pt idx="663">
                  <c:v>1.2558110926378211E-2</c:v>
                </c:pt>
                <c:pt idx="664">
                  <c:v>1.2231526351277971E-2</c:v>
                </c:pt>
                <c:pt idx="665">
                  <c:v>1.1912243607605179E-2</c:v>
                </c:pt>
                <c:pt idx="666">
                  <c:v>1.1600135113702561E-2</c:v>
                </c:pt>
                <c:pt idx="667">
                  <c:v>1.1295074500456135E-2</c:v>
                </c:pt>
                <c:pt idx="668">
                  <c:v>1.0996936629405572E-2</c:v>
                </c:pt>
                <c:pt idx="669">
                  <c:v>1.0705597609772187E-2</c:v>
                </c:pt>
                <c:pt idx="670">
                  <c:v>1.0420934814422592E-2</c:v>
                </c:pt>
                <c:pt idx="671">
                  <c:v>1.0142826894787077E-2</c:v>
                </c:pt>
                <c:pt idx="672">
                  <c:v>9.8711537947511301E-3</c:v>
                </c:pt>
                <c:pt idx="673">
                  <c:v>9.6057967635395872E-3</c:v>
                </c:pt>
                <c:pt idx="674">
                  <c:v>9.3466383676122835E-3</c:v>
                </c:pt>
                <c:pt idx="675">
                  <c:v>9.0935625015910529E-3</c:v>
                </c:pt>
                <c:pt idx="676">
                  <c:v>8.8464543982372315E-3</c:v>
                </c:pt>
                <c:pt idx="677">
                  <c:v>8.6052006374996715E-3</c:v>
                </c:pt>
                <c:pt idx="678">
                  <c:v>8.369689154653033E-3</c:v>
                </c:pt>
                <c:pt idx="679">
                  <c:v>8.1398092475460215E-3</c:v>
                </c:pt>
                <c:pt idx="680">
                  <c:v>7.9154515829799686E-3</c:v>
                </c:pt>
                <c:pt idx="681">
                  <c:v>7.6965082022373218E-3</c:v>
                </c:pt>
                <c:pt idx="682">
                  <c:v>7.4828725257805638E-3</c:v>
                </c:pt>
                <c:pt idx="683">
                  <c:v>7.2744393571412182E-3</c:v>
                </c:pt>
                <c:pt idx="684">
                  <c:v>7.0711048860194487E-3</c:v>
                </c:pt>
                <c:pt idx="685">
                  <c:v>6.8727666906139712E-3</c:v>
                </c:pt>
                <c:pt idx="686">
                  <c:v>6.6793237392026202E-3</c:v>
                </c:pt>
                <c:pt idx="687">
                  <c:v>6.4906763909933643E-3</c:v>
                </c:pt>
                <c:pt idx="688">
                  <c:v>6.3067263962659275E-3</c:v>
                </c:pt>
                <c:pt idx="689">
                  <c:v>6.1273768958236873E-3</c:v>
                </c:pt>
                <c:pt idx="690">
                  <c:v>5.9525324197758538E-3</c:v>
                </c:pt>
                <c:pt idx="691">
                  <c:v>5.7820988856694729E-3</c:v>
                </c:pt>
                <c:pt idx="692">
                  <c:v>5.615983595990969E-3</c:v>
                </c:pt>
                <c:pt idx="693">
                  <c:v>5.4540952350565454E-3</c:v>
                </c:pt>
                <c:pt idx="694">
                  <c:v>5.2963438653110201E-3</c:v>
                </c:pt>
                <c:pt idx="695">
                  <c:v>5.1426409230539392E-3</c:v>
                </c:pt>
                <c:pt idx="696">
                  <c:v>4.9928992136123763E-3</c:v>
                </c:pt>
                <c:pt idx="697">
                  <c:v>4.847032905978944E-3</c:v>
                </c:pt>
                <c:pt idx="698">
                  <c:v>4.7049575269339792E-3</c:v>
                </c:pt>
                <c:pt idx="699">
                  <c:v>4.5665899546701444E-3</c:v>
                </c:pt>
                <c:pt idx="700">
                  <c:v>4.4318484119380075E-3</c:v>
                </c:pt>
                <c:pt idx="701">
                  <c:v>4.3006524587304498E-3</c:v>
                </c:pt>
                <c:pt idx="702">
                  <c:v>4.1729229845239623E-3</c:v>
                </c:pt>
                <c:pt idx="703">
                  <c:v>4.04858220009443E-3</c:v>
                </c:pt>
                <c:pt idx="704">
                  <c:v>3.9275536289247789E-3</c:v>
                </c:pt>
                <c:pt idx="705">
                  <c:v>3.8097620982218104E-3</c:v>
                </c:pt>
                <c:pt idx="706">
                  <c:v>3.6951337295590349E-3</c:v>
                </c:pt>
                <c:pt idx="707">
                  <c:v>3.5835959291623614E-3</c:v>
                </c:pt>
                <c:pt idx="708">
                  <c:v>3.4750773778549375E-3</c:v>
                </c:pt>
                <c:pt idx="709">
                  <c:v>3.3695080206774812E-3</c:v>
                </c:pt>
                <c:pt idx="710">
                  <c:v>3.2668190561999182E-3</c:v>
                </c:pt>
                <c:pt idx="711">
                  <c:v>3.1669429255400811E-3</c:v>
                </c:pt>
                <c:pt idx="712">
                  <c:v>3.0698133011047403E-3</c:v>
                </c:pt>
                <c:pt idx="713">
                  <c:v>2.9753650750682535E-3</c:v>
                </c:pt>
                <c:pt idx="714">
                  <c:v>2.8835343476034392E-3</c:v>
                </c:pt>
                <c:pt idx="715">
                  <c:v>2.7942584148794472E-3</c:v>
                </c:pt>
                <c:pt idx="716">
                  <c:v>2.7074757568406999E-3</c:v>
                </c:pt>
                <c:pt idx="717">
                  <c:v>2.6231260247810244E-3</c:v>
                </c:pt>
                <c:pt idx="718">
                  <c:v>2.5411500287265214E-3</c:v>
                </c:pt>
                <c:pt idx="719">
                  <c:v>2.4614897246407006E-3</c:v>
                </c:pt>
                <c:pt idx="720">
                  <c:v>2.3840882014648404E-3</c:v>
                </c:pt>
                <c:pt idx="721">
                  <c:v>2.3088896680064958E-3</c:v>
                </c:pt>
                <c:pt idx="722">
                  <c:v>2.2358394396885385E-3</c:v>
                </c:pt>
                <c:pt idx="723">
                  <c:v>2.164883925171062E-3</c:v>
                </c:pt>
                <c:pt idx="724">
                  <c:v>2.0959706128579419E-3</c:v>
                </c:pt>
                <c:pt idx="725">
                  <c:v>2.0290480572997681E-3</c:v>
                </c:pt>
                <c:pt idx="726">
                  <c:v>1.9640658655043761E-3</c:v>
                </c:pt>
                <c:pt idx="727">
                  <c:v>1.9009746831660803E-3</c:v>
                </c:pt>
                <c:pt idx="728">
                  <c:v>1.839726180824281E-3</c:v>
                </c:pt>
                <c:pt idx="729">
                  <c:v>1.7802730399618786E-3</c:v>
                </c:pt>
                <c:pt idx="730">
                  <c:v>1.7225689390536812E-3</c:v>
                </c:pt>
                <c:pt idx="731">
                  <c:v>1.6665685395745797E-3</c:v>
                </c:pt>
                <c:pt idx="732">
                  <c:v>1.6122274719771244E-3</c:v>
                </c:pt>
                <c:pt idx="733">
                  <c:v>1.5595023216476915E-3</c:v>
                </c:pt>
                <c:pt idx="734">
                  <c:v>1.5083506148503073E-3</c:v>
                </c:pt>
                <c:pt idx="735">
                  <c:v>1.4587308046667459E-3</c:v>
                </c:pt>
                <c:pt idx="736">
                  <c:v>1.4106022569413848E-3</c:v>
                </c:pt>
                <c:pt idx="737">
                  <c:v>1.3639252362389036E-3</c:v>
                </c:pt>
                <c:pt idx="738">
                  <c:v>1.3186608918227423E-3</c:v>
                </c:pt>
                <c:pt idx="739">
                  <c:v>1.2747712436618327E-3</c:v>
                </c:pt>
                <c:pt idx="740">
                  <c:v>1.2322191684730199E-3</c:v>
                </c:pt>
                <c:pt idx="741">
                  <c:v>1.1909683858061166E-3</c:v>
                </c:pt>
                <c:pt idx="742">
                  <c:v>1.1509834441784845E-3</c:v>
                </c:pt>
                <c:pt idx="743">
                  <c:v>1.1122297072655649E-3</c:v>
                </c:pt>
                <c:pt idx="744">
                  <c:v>1.0746733401537356E-3</c:v>
                </c:pt>
                <c:pt idx="745">
                  <c:v>1.0382812956614103E-3</c:v>
                </c:pt>
                <c:pt idx="746">
                  <c:v>1.0030213007342376E-3</c:v>
                </c:pt>
                <c:pt idx="747">
                  <c:v>9.6886184291984591E-4</c:v>
                </c:pt>
                <c:pt idx="748">
                  <c:v>9.3577215692747977E-4</c:v>
                </c:pt>
                <c:pt idx="749">
                  <c:v>9.0372221127752448E-4</c:v>
                </c:pt>
                <c:pt idx="750">
                  <c:v>8.7268269504576015E-4</c:v>
                </c:pt>
                <c:pt idx="751">
                  <c:v>8.4262500470690268E-4</c:v>
                </c:pt>
                <c:pt idx="752">
                  <c:v>8.1352123108180841E-4</c:v>
                </c:pt>
                <c:pt idx="753">
                  <c:v>7.8534414639246997E-4</c:v>
                </c:pt>
                <c:pt idx="754">
                  <c:v>7.580671914287103E-4</c:v>
                </c:pt>
                <c:pt idx="755">
                  <c:v>7.3166446283031089E-4</c:v>
                </c:pt>
                <c:pt idx="756">
                  <c:v>7.061107004880362E-4</c:v>
                </c:pt>
                <c:pt idx="757">
                  <c:v>6.8138127506689212E-4</c:v>
                </c:pt>
                <c:pt idx="758">
                  <c:v>6.5745217565467645E-4</c:v>
                </c:pt>
                <c:pt idx="759">
                  <c:v>6.342999975387576E-4</c:v>
                </c:pt>
                <c:pt idx="760">
                  <c:v>6.119019301137719E-4</c:v>
                </c:pt>
                <c:pt idx="761">
                  <c:v>5.9023574492278561E-4</c:v>
                </c:pt>
                <c:pt idx="762">
                  <c:v>5.6927978383425261E-4</c:v>
                </c:pt>
                <c:pt idx="763">
                  <c:v>5.490129473569587E-4</c:v>
                </c:pt>
                <c:pt idx="764">
                  <c:v>5.2941468309493475E-4</c:v>
                </c:pt>
                <c:pt idx="765">
                  <c:v>5.104649743441856E-4</c:v>
                </c:pt>
                <c:pt idx="766">
                  <c:v>4.9214432883289312E-4</c:v>
                </c:pt>
                <c:pt idx="767">
                  <c:v>4.7443376760662064E-4</c:v>
                </c:pt>
                <c:pt idx="768">
                  <c:v>4.5731481405985675E-4</c:v>
                </c:pt>
                <c:pt idx="769">
                  <c:v>4.4076948311513252E-4</c:v>
                </c:pt>
                <c:pt idx="770">
                  <c:v>4.2478027055075143E-4</c:v>
                </c:pt>
                <c:pt idx="771">
                  <c:v>4.0933014247807883E-4</c:v>
                </c:pt>
                <c:pt idx="772">
                  <c:v>3.9440252496915622E-4</c:v>
                </c:pt>
                <c:pt idx="773">
                  <c:v>3.7998129383532141E-4</c:v>
                </c:pt>
                <c:pt idx="774">
                  <c:v>3.6605076455733496E-4</c:v>
                </c:pt>
                <c:pt idx="775">
                  <c:v>3.5259568236744541E-4</c:v>
                </c:pt>
                <c:pt idx="776">
                  <c:v>3.3960121248365478E-4</c:v>
                </c:pt>
                <c:pt idx="777">
                  <c:v>3.2705293049637498E-4</c:v>
                </c:pt>
                <c:pt idx="778">
                  <c:v>3.1493681290752188E-4</c:v>
                </c:pt>
                <c:pt idx="779">
                  <c:v>3.0323922782200417E-4</c:v>
                </c:pt>
                <c:pt idx="780">
                  <c:v>2.9194692579146027E-4</c:v>
                </c:pt>
                <c:pt idx="781">
                  <c:v>2.8104703080998632E-4</c:v>
                </c:pt>
                <c:pt idx="782">
                  <c:v>2.70527031461521E-4</c:v>
                </c:pt>
                <c:pt idx="783">
                  <c:v>2.6037477221844247E-4</c:v>
                </c:pt>
                <c:pt idx="784">
                  <c:v>2.5057844489086075E-4</c:v>
                </c:pt>
                <c:pt idx="785">
                  <c:v>2.4112658022599324E-4</c:v>
                </c:pt>
                <c:pt idx="786">
                  <c:v>2.3200803965694238E-4</c:v>
                </c:pt>
                <c:pt idx="787">
                  <c:v>2.2321200720010206E-4</c:v>
                </c:pt>
                <c:pt idx="788">
                  <c:v>2.1472798150036704E-4</c:v>
                </c:pt>
                <c:pt idx="789">
                  <c:v>2.0654576802322548E-4</c:v>
                </c:pt>
                <c:pt idx="790">
                  <c:v>1.9865547139277272E-4</c:v>
                </c:pt>
                <c:pt idx="791">
                  <c:v>1.9104748787459762E-4</c:v>
                </c:pt>
                <c:pt idx="792">
                  <c:v>1.8371249800245711E-4</c:v>
                </c:pt>
                <c:pt idx="793">
                  <c:v>1.7664145934757092E-4</c:v>
                </c:pt>
                <c:pt idx="794">
                  <c:v>1.6982559942934359E-4</c:v>
                </c:pt>
                <c:pt idx="795">
                  <c:v>1.6325640876624199E-4</c:v>
                </c:pt>
                <c:pt idx="796">
                  <c:v>1.5692563406553226E-4</c:v>
                </c:pt>
                <c:pt idx="797">
                  <c:v>1.508252715505178E-4</c:v>
                </c:pt>
                <c:pt idx="798">
                  <c:v>1.4494756042389106E-4</c:v>
                </c:pt>
                <c:pt idx="799">
                  <c:v>1.3928497646575994E-4</c:v>
                </c:pt>
                <c:pt idx="800">
                  <c:v>1.3383022576488537E-4</c:v>
                </c:pt>
              </c:numCache>
            </c:numRef>
          </c:val>
          <c:smooth val="0"/>
          <c:extLst>
            <c:ext xmlns:c16="http://schemas.microsoft.com/office/drawing/2014/chart" uri="{C3380CC4-5D6E-409C-BE32-E72D297353CC}">
              <c16:uniqueId val="{00000000-DB54-46F2-A5F0-89EB58DE8D69}"/>
            </c:ext>
          </c:extLst>
        </c:ser>
        <c:dLbls>
          <c:showLegendKey val="0"/>
          <c:showVal val="0"/>
          <c:showCatName val="0"/>
          <c:showSerName val="0"/>
          <c:showPercent val="0"/>
          <c:showBubbleSize val="0"/>
        </c:dLbls>
        <c:smooth val="0"/>
        <c:axId val="36793728"/>
        <c:axId val="36816000"/>
      </c:lineChart>
      <c:catAx>
        <c:axId val="36793728"/>
        <c:scaling>
          <c:orientation val="minMax"/>
        </c:scaling>
        <c:delete val="1"/>
        <c:axPos val="b"/>
        <c:majorTickMark val="out"/>
        <c:minorTickMark val="none"/>
        <c:tickLblPos val="nextTo"/>
        <c:crossAx val="36816000"/>
        <c:crosses val="autoZero"/>
        <c:auto val="1"/>
        <c:lblAlgn val="ctr"/>
        <c:lblOffset val="100"/>
        <c:noMultiLvlLbl val="0"/>
      </c:catAx>
      <c:valAx>
        <c:axId val="36816000"/>
        <c:scaling>
          <c:orientation val="minMax"/>
        </c:scaling>
        <c:delete val="1"/>
        <c:axPos val="l"/>
        <c:majorGridlines/>
        <c:numFmt formatCode="0.00000000000000000000" sourceLinked="1"/>
        <c:majorTickMark val="out"/>
        <c:minorTickMark val="none"/>
        <c:tickLblPos val="nextTo"/>
        <c:crossAx val="36793728"/>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'Z TABLOSUNUN HAZIRLANIŞI'!$J$2:$J$802</c:f>
              <c:numCache>
                <c:formatCode>General</c:formatCode>
                <c:ptCount val="801"/>
                <c:pt idx="0">
                  <c:v>3.1671241833119857E-5</c:v>
                </c:pt>
                <c:pt idx="1">
                  <c:v>3.3036647629402356E-5</c:v>
                </c:pt>
                <c:pt idx="2">
                  <c:v>3.4457634115053068E-5</c:v>
                </c:pt>
                <c:pt idx="3">
                  <c:v>3.5936315902853744E-5</c:v>
                </c:pt>
                <c:pt idx="4">
                  <c:v>3.747488169107341E-5</c:v>
                </c:pt>
                <c:pt idx="5">
                  <c:v>3.9075596597787456E-5</c:v>
                </c:pt>
                <c:pt idx="6">
                  <c:v>4.0740804558550716E-5</c:v>
                </c:pt>
                <c:pt idx="7">
                  <c:v>4.2472930788761133E-5</c:v>
                </c:pt>
                <c:pt idx="8">
                  <c:v>4.4274484312070743E-5</c:v>
                </c:pt>
                <c:pt idx="9">
                  <c:v>4.6148060556208756E-5</c:v>
                </c:pt>
                <c:pt idx="10">
                  <c:v>4.8096344017602614E-5</c:v>
                </c:pt>
                <c:pt idx="11">
                  <c:v>5.0122110996188361E-5</c:v>
                </c:pt>
                <c:pt idx="12">
                  <c:v>5.2228232401820074E-5</c:v>
                </c:pt>
                <c:pt idx="13">
                  <c:v>5.4417676633699602E-5</c:v>
                </c:pt>
                <c:pt idx="14">
                  <c:v>5.6693512534256526E-5</c:v>
                </c:pt>
                <c:pt idx="15">
                  <c:v>5.9058912418922381E-5</c:v>
                </c:pt>
                <c:pt idx="16">
                  <c:v>6.1517155183255203E-5</c:v>
                </c:pt>
                <c:pt idx="17">
                  <c:v>6.4071629488874441E-5</c:v>
                </c:pt>
                <c:pt idx="18">
                  <c:v>6.6725837029684654E-5</c:v>
                </c:pt>
                <c:pt idx="19">
                  <c:v>6.9483395879865075E-5</c:v>
                </c:pt>
                <c:pt idx="20">
                  <c:v>7.234804392511999E-5</c:v>
                </c:pt>
                <c:pt idx="21">
                  <c:v>7.5323642378683189E-5</c:v>
                </c:pt>
                <c:pt idx="22">
                  <c:v>7.8414179383581867E-5</c:v>
                </c:pt>
                <c:pt idx="23">
                  <c:v>8.1623773702686067E-5</c:v>
                </c:pt>
                <c:pt idx="24">
                  <c:v>8.4956678497994325E-5</c:v>
                </c:pt>
                <c:pt idx="25">
                  <c:v>8.841728520080376E-5</c:v>
                </c:pt>
                <c:pt idx="26">
                  <c:v>9.201012747410165E-5</c:v>
                </c:pt>
                <c:pt idx="27">
                  <c:v>9.5739885268910355E-5</c:v>
                </c:pt>
                <c:pt idx="28">
                  <c:v>9.9611388975912548E-5</c:v>
                </c:pt>
                <c:pt idx="29">
                  <c:v>1.0362962367402678E-4</c:v>
                </c:pt>
                <c:pt idx="30">
                  <c:v>1.0779973347738398E-4</c:v>
                </c:pt>
                <c:pt idx="31">
                  <c:v>1.1212702598224243E-4</c:v>
                </c:pt>
                <c:pt idx="32">
                  <c:v>1.1661697681536354E-4</c:v>
                </c:pt>
                <c:pt idx="33">
                  <c:v>1.2127523428535299E-4</c:v>
                </c:pt>
                <c:pt idx="34">
                  <c:v>1.2610762413848173E-4</c:v>
                </c:pt>
                <c:pt idx="35">
                  <c:v>1.3112015442047928E-4</c:v>
                </c:pt>
                <c:pt idx="36">
                  <c:v>1.3631902044579662E-4</c:v>
                </c:pt>
                <c:pt idx="37">
                  <c:v>1.4171060987581356E-4</c:v>
                </c:pt>
                <c:pt idx="38">
                  <c:v>1.4730150790746705E-4</c:v>
                </c:pt>
                <c:pt idx="39">
                  <c:v>1.5309850257374917E-4</c:v>
                </c:pt>
                <c:pt idx="40">
                  <c:v>1.5910859015752789E-4</c:v>
                </c:pt>
                <c:pt idx="41">
                  <c:v>1.6533898072010328E-4</c:v>
                </c:pt>
                <c:pt idx="42">
                  <c:v>1.7179710374592397E-4</c:v>
                </c:pt>
                <c:pt idx="43">
                  <c:v>1.7849061390484041E-4</c:v>
                </c:pt>
                <c:pt idx="44">
                  <c:v>1.8542739693327065E-4</c:v>
                </c:pt>
                <c:pt idx="45">
                  <c:v>1.9261557563562541E-4</c:v>
                </c:pt>
                <c:pt idx="46">
                  <c:v>2.0006351600731245E-4</c:v>
                </c:pt>
                <c:pt idx="47">
                  <c:v>2.0777983348061309E-4</c:v>
                </c:pt>
                <c:pt idx="48">
                  <c:v>2.1577339929470943E-4</c:v>
                </c:pt>
                <c:pt idx="49">
                  <c:v>2.24053346991084E-4</c:v>
                </c:pt>
                <c:pt idx="50">
                  <c:v>2.3262907903551577E-4</c:v>
                </c:pt>
                <c:pt idx="51">
                  <c:v>2.4151027356782696E-4</c:v>
                </c:pt>
                <c:pt idx="52">
                  <c:v>2.5070689128052774E-4</c:v>
                </c:pt>
                <c:pt idx="53">
                  <c:v>2.6022918242745683E-4</c:v>
                </c:pt>
                <c:pt idx="54">
                  <c:v>2.7008769396346413E-4</c:v>
                </c:pt>
                <c:pt idx="55">
                  <c:v>2.8029327681616676E-4</c:v>
                </c:pt>
                <c:pt idx="56">
                  <c:v>2.9085709329073207E-4</c:v>
                </c:pt>
                <c:pt idx="57">
                  <c:v>3.0179062460862629E-4</c:v>
                </c:pt>
                <c:pt idx="58">
                  <c:v>3.1310567858118825E-4</c:v>
                </c:pt>
                <c:pt idx="59">
                  <c:v>3.2481439741886625E-4</c:v>
                </c:pt>
                <c:pt idx="60">
                  <c:v>3.3692926567686834E-4</c:v>
                </c:pt>
                <c:pt idx="61">
                  <c:v>3.4946311833795884E-4</c:v>
                </c:pt>
                <c:pt idx="62">
                  <c:v>3.6242914903303054E-4</c:v>
                </c:pt>
                <c:pt idx="63">
                  <c:v>3.7584091840007025E-4</c:v>
                </c:pt>
                <c:pt idx="64">
                  <c:v>3.8971236258201748E-4</c:v>
                </c:pt>
                <c:pt idx="65">
                  <c:v>4.0405780186400611E-4</c:v>
                </c:pt>
                <c:pt idx="66">
                  <c:v>4.188919494503545E-4</c:v>
                </c:pt>
                <c:pt idx="67">
                  <c:v>4.3422992038163956E-4</c:v>
                </c:pt>
                <c:pt idx="68">
                  <c:v>4.5008724059210044E-4</c:v>
                </c:pt>
                <c:pt idx="69">
                  <c:v>4.6647985610751577E-4</c:v>
                </c:pt>
                <c:pt idx="70">
                  <c:v>4.834241423837595E-4</c:v>
                </c:pt>
                <c:pt idx="71">
                  <c:v>5.0093691378568623E-4</c:v>
                </c:pt>
                <c:pt idx="72">
                  <c:v>5.1903543320695397E-4</c:v>
                </c:pt>
                <c:pt idx="73">
                  <c:v>5.3773742182965697E-4</c:v>
                </c:pt>
                <c:pt idx="74">
                  <c:v>5.5706106902458181E-4</c:v>
                </c:pt>
                <c:pt idx="75">
                  <c:v>5.7702504239072645E-4</c:v>
                </c:pt>
                <c:pt idx="76">
                  <c:v>5.9764849793437309E-4</c:v>
                </c:pt>
                <c:pt idx="77">
                  <c:v>6.189510903867922E-4</c:v>
                </c:pt>
                <c:pt idx="78">
                  <c:v>6.4095298366001138E-4</c:v>
                </c:pt>
                <c:pt idx="79">
                  <c:v>6.6367486143992032E-4</c:v>
                </c:pt>
                <c:pt idx="80">
                  <c:v>6.8713793791579927E-4</c:v>
                </c:pt>
                <c:pt idx="81">
                  <c:v>7.1136396864531393E-4</c:v>
                </c:pt>
                <c:pt idx="82">
                  <c:v>7.3637526155387832E-4</c:v>
                </c:pt>
                <c:pt idx="83">
                  <c:v>7.6219468806718233E-4</c:v>
                </c:pt>
                <c:pt idx="84">
                  <c:v>7.8884569437551795E-4</c:v>
                </c:pt>
                <c:pt idx="85">
                  <c:v>8.1635231282850594E-4</c:v>
                </c:pt>
                <c:pt idx="86">
                  <c:v>8.4473917345856842E-4</c:v>
                </c:pt>
                <c:pt idx="87">
                  <c:v>8.7403151563150748E-4</c:v>
                </c:pt>
                <c:pt idx="88">
                  <c:v>9.0425519982227751E-4</c:v>
                </c:pt>
                <c:pt idx="89">
                  <c:v>9.3543671951403602E-4</c:v>
                </c:pt>
                <c:pt idx="90">
                  <c:v>9.6760321321829072E-4</c:v>
                </c:pt>
                <c:pt idx="91">
                  <c:v>1.0007824766139436E-3</c:v>
                </c:pt>
                <c:pt idx="92">
                  <c:v>1.0350029748027716E-3</c:v>
                </c:pt>
                <c:pt idx="93">
                  <c:v>1.0702938546788528E-3</c:v>
                </c:pt>
                <c:pt idx="94">
                  <c:v>1.1066849574091729E-3</c:v>
                </c:pt>
                <c:pt idx="95">
                  <c:v>1.1442068310226232E-3</c:v>
                </c:pt>
                <c:pt idx="96">
                  <c:v>1.1828907431043283E-3</c:v>
                </c:pt>
                <c:pt idx="97">
                  <c:v>1.2227686935921771E-3</c:v>
                </c:pt>
                <c:pt idx="98">
                  <c:v>1.2638734276722147E-3</c:v>
                </c:pt>
                <c:pt idx="99">
                  <c:v>1.3062384487693814E-3</c:v>
                </c:pt>
                <c:pt idx="100">
                  <c:v>1.3498980316300039E-3</c:v>
                </c:pt>
                <c:pt idx="101">
                  <c:v>1.3948872354921584E-3</c:v>
                </c:pt>
                <c:pt idx="102">
                  <c:v>1.4412419173399195E-3</c:v>
                </c:pt>
                <c:pt idx="103">
                  <c:v>1.4889987452373656E-3</c:v>
                </c:pt>
                <c:pt idx="104">
                  <c:v>1.538195211737957E-3</c:v>
                </c:pt>
                <c:pt idx="105">
                  <c:v>1.5888696473647626E-3</c:v>
                </c:pt>
                <c:pt idx="106">
                  <c:v>1.6410612341568908E-3</c:v>
                </c:pt>
                <c:pt idx="107">
                  <c:v>1.6948100192771503E-3</c:v>
                </c:pt>
                <c:pt idx="108">
                  <c:v>1.7501569286759869E-3</c:v>
                </c:pt>
                <c:pt idx="109">
                  <c:v>1.8071437808063111E-3</c:v>
                </c:pt>
                <c:pt idx="110">
                  <c:v>1.8658133003839187E-3</c:v>
                </c:pt>
                <c:pt idx="111">
                  <c:v>1.9262091321877359E-3</c:v>
                </c:pt>
                <c:pt idx="112">
                  <c:v>1.9883758548941985E-3</c:v>
                </c:pt>
                <c:pt idx="113">
                  <c:v>2.0523589949396231E-3</c:v>
                </c:pt>
                <c:pt idx="114">
                  <c:v>2.1182050404044864E-3</c:v>
                </c:pt>
                <c:pt idx="115">
                  <c:v>2.1859614549131021E-3</c:v>
                </c:pt>
                <c:pt idx="116">
                  <c:v>2.2556766915421836E-3</c:v>
                </c:pt>
                <c:pt idx="117">
                  <c:v>2.3274002067314079E-3</c:v>
                </c:pt>
                <c:pt idx="118">
                  <c:v>2.401182474189024E-3</c:v>
                </c:pt>
                <c:pt idx="119">
                  <c:v>2.4770749987856307E-3</c:v>
                </c:pt>
                <c:pt idx="120">
                  <c:v>2.5551303304276918E-3</c:v>
                </c:pt>
                <c:pt idx="121">
                  <c:v>2.6354020779047085E-3</c:v>
                </c:pt>
                <c:pt idx="122">
                  <c:v>2.7179449227010054E-3</c:v>
                </c:pt>
                <c:pt idx="123">
                  <c:v>2.8028146327647653E-3</c:v>
                </c:pt>
                <c:pt idx="124">
                  <c:v>2.8900680762258793E-3</c:v>
                </c:pt>
                <c:pt idx="125">
                  <c:v>2.9797632350542797E-3</c:v>
                </c:pt>
                <c:pt idx="126">
                  <c:v>3.0719592186502121E-3</c:v>
                </c:pt>
                <c:pt idx="127">
                  <c:v>3.1667162773575028E-3</c:v>
                </c:pt>
                <c:pt idx="128">
                  <c:v>3.264095815891013E-3</c:v>
                </c:pt>
                <c:pt idx="129">
                  <c:v>3.3641604066688875E-3</c:v>
                </c:pt>
                <c:pt idx="130">
                  <c:v>3.4669738030403533E-3</c:v>
                </c:pt>
                <c:pt idx="131">
                  <c:v>3.5726009523994115E-3</c:v>
                </c:pt>
                <c:pt idx="132">
                  <c:v>3.6811080091746517E-3</c:v>
                </c:pt>
                <c:pt idx="133">
                  <c:v>3.7925623476851456E-3</c:v>
                </c:pt>
                <c:pt idx="134">
                  <c:v>3.9070325748524317E-3</c:v>
                </c:pt>
                <c:pt idx="135">
                  <c:v>4.0245885427579453E-3</c:v>
                </c:pt>
                <c:pt idx="136">
                  <c:v>4.1453013610356707E-3</c:v>
                </c:pt>
                <c:pt idx="137">
                  <c:v>4.2692434090889709E-3</c:v>
                </c:pt>
                <c:pt idx="138">
                  <c:v>4.3964883481209241E-3</c:v>
                </c:pt>
                <c:pt idx="139">
                  <c:v>4.5271111329669217E-3</c:v>
                </c:pt>
                <c:pt idx="140">
                  <c:v>4.6611880237183425E-3</c:v>
                </c:pt>
                <c:pt idx="141">
                  <c:v>4.7987965971257578E-3</c:v>
                </c:pt>
                <c:pt idx="142">
                  <c:v>4.940015757770218E-3</c:v>
                </c:pt>
                <c:pt idx="143">
                  <c:v>5.0849257489905949E-3</c:v>
                </c:pt>
                <c:pt idx="144">
                  <c:v>5.2336081635553392E-3</c:v>
                </c:pt>
                <c:pt idx="145">
                  <c:v>5.3861459540662212E-3</c:v>
                </c:pt>
                <c:pt idx="146">
                  <c:v>5.5426234430821283E-3</c:v>
                </c:pt>
                <c:pt idx="147">
                  <c:v>5.7031263329502075E-3</c:v>
                </c:pt>
                <c:pt idx="148">
                  <c:v>5.867741715332055E-3</c:v>
                </c:pt>
                <c:pt idx="149">
                  <c:v>6.0365580804121405E-3</c:v>
                </c:pt>
                <c:pt idx="150">
                  <c:v>6.2096653257756066E-3</c:v>
                </c:pt>
                <c:pt idx="151">
                  <c:v>6.3871547649426352E-3</c:v>
                </c:pt>
                <c:pt idx="152">
                  <c:v>6.5691191355462019E-3</c:v>
                </c:pt>
                <c:pt idx="153">
                  <c:v>6.7556526071400821E-3</c:v>
                </c:pt>
                <c:pt idx="154">
                  <c:v>6.9468507886237263E-3</c:v>
                </c:pt>
                <c:pt idx="155">
                  <c:v>7.1428107352708254E-3</c:v>
                </c:pt>
                <c:pt idx="156">
                  <c:v>7.3436309553477292E-3</c:v>
                </c:pt>
                <c:pt idx="157">
                  <c:v>7.5494114163085855E-3</c:v>
                </c:pt>
                <c:pt idx="158">
                  <c:v>7.7602535505529964E-3</c:v>
                </c:pt>
                <c:pt idx="159">
                  <c:v>7.9762602607330712E-3</c:v>
                </c:pt>
                <c:pt idx="160">
                  <c:v>8.1975359245954529E-3</c:v>
                </c:pt>
                <c:pt idx="161">
                  <c:v>8.4241863993450034E-3</c:v>
                </c:pt>
                <c:pt idx="162">
                  <c:v>8.6563190255158334E-3</c:v>
                </c:pt>
                <c:pt idx="163">
                  <c:v>8.8940426303360572E-3</c:v>
                </c:pt>
                <c:pt idx="164">
                  <c:v>9.13746753057193E-3</c:v>
                </c:pt>
                <c:pt idx="165">
                  <c:v>9.3867055348375635E-3</c:v>
                </c:pt>
                <c:pt idx="166">
                  <c:v>9.6418699453573054E-3</c:v>
                </c:pt>
                <c:pt idx="167">
                  <c:v>9.9030755591631887E-3</c:v>
                </c:pt>
                <c:pt idx="168">
                  <c:v>1.01704386687186E-2</c:v>
                </c:pt>
                <c:pt idx="169">
                  <c:v>1.0444077061949978E-2</c:v>
                </c:pt>
                <c:pt idx="170">
                  <c:v>1.0724110021674669E-2</c:v>
                </c:pt>
                <c:pt idx="171">
                  <c:v>1.1010658324410224E-2</c:v>
                </c:pt>
                <c:pt idx="172">
                  <c:v>1.1303844238551597E-2</c:v>
                </c:pt>
                <c:pt idx="173">
                  <c:v>1.1603791521902313E-2</c:v>
                </c:pt>
                <c:pt idx="174">
                  <c:v>1.1910625418545808E-2</c:v>
                </c:pt>
                <c:pt idx="175">
                  <c:v>1.2224472655043428E-2</c:v>
                </c:pt>
                <c:pt idx="176">
                  <c:v>1.2545461435945251E-2</c:v>
                </c:pt>
                <c:pt idx="177">
                  <c:v>1.287372143860069E-2</c:v>
                </c:pt>
                <c:pt idx="178">
                  <c:v>1.3209383807254909E-2</c:v>
                </c:pt>
                <c:pt idx="179">
                  <c:v>1.3552581146418592E-2</c:v>
                </c:pt>
                <c:pt idx="180">
                  <c:v>1.3903447513497182E-2</c:v>
                </c:pt>
                <c:pt idx="181">
                  <c:v>1.4262118410667419E-2</c:v>
                </c:pt>
                <c:pt idx="182">
                  <c:v>1.4628730775987772E-2</c:v>
                </c:pt>
                <c:pt idx="183">
                  <c:v>1.5003422973730682E-2</c:v>
                </c:pt>
                <c:pt idx="184">
                  <c:v>1.5386334783923893E-2</c:v>
                </c:pt>
                <c:pt idx="185">
                  <c:v>1.5777607391088928E-2</c:v>
                </c:pt>
                <c:pt idx="186">
                  <c:v>1.6177383372164469E-2</c:v>
                </c:pt>
                <c:pt idx="187">
                  <c:v>1.6585806683603366E-2</c:v>
                </c:pt>
                <c:pt idx="188">
                  <c:v>1.7003022647631108E-2</c:v>
                </c:pt>
                <c:pt idx="189">
                  <c:v>1.7429177937655371E-2</c:v>
                </c:pt>
                <c:pt idx="190">
                  <c:v>1.786442056281479E-2</c:v>
                </c:pt>
                <c:pt idx="191">
                  <c:v>1.8308899851657158E-2</c:v>
                </c:pt>
                <c:pt idx="192">
                  <c:v>1.8762766434935917E-2</c:v>
                </c:pt>
                <c:pt idx="193">
                  <c:v>1.9226172227515419E-2</c:v>
                </c:pt>
                <c:pt idx="194">
                  <c:v>1.9699270409374969E-2</c:v>
                </c:pt>
                <c:pt idx="195">
                  <c:v>2.0182215405702454E-2</c:v>
                </c:pt>
                <c:pt idx="196">
                  <c:v>2.0675162866068048E-2</c:v>
                </c:pt>
                <c:pt idx="197">
                  <c:v>2.1178269642670215E-2</c:v>
                </c:pt>
                <c:pt idx="198">
                  <c:v>2.1691693767644713E-2</c:v>
                </c:pt>
                <c:pt idx="199">
                  <c:v>2.2215594429429338E-2</c:v>
                </c:pt>
                <c:pt idx="200">
                  <c:v>2.2750131948177051E-2</c:v>
                </c:pt>
                <c:pt idx="201">
                  <c:v>2.329546775020962E-2</c:v>
                </c:pt>
                <c:pt idx="202">
                  <c:v>2.3851764341506286E-2</c:v>
                </c:pt>
                <c:pt idx="203">
                  <c:v>2.4419185280220242E-2</c:v>
                </c:pt>
                <c:pt idx="204">
                  <c:v>2.4997895148218093E-2</c:v>
                </c:pt>
                <c:pt idx="205">
                  <c:v>2.5588059521636237E-2</c:v>
                </c:pt>
                <c:pt idx="206">
                  <c:v>2.618984494045026E-2</c:v>
                </c:pt>
                <c:pt idx="207">
                  <c:v>2.6803418877052478E-2</c:v>
                </c:pt>
                <c:pt idx="208">
                  <c:v>2.7428949703834287E-2</c:v>
                </c:pt>
                <c:pt idx="209">
                  <c:v>2.806660665976991E-2</c:v>
                </c:pt>
                <c:pt idx="210">
                  <c:v>2.871655981599916E-2</c:v>
                </c:pt>
                <c:pt idx="211">
                  <c:v>2.9378980040406743E-2</c:v>
                </c:pt>
                <c:pt idx="212">
                  <c:v>3.0054038961196367E-2</c:v>
                </c:pt>
                <c:pt idx="213">
                  <c:v>3.0741908929462481E-2</c:v>
                </c:pt>
                <c:pt idx="214">
                  <c:v>3.1442762980749162E-2</c:v>
                </c:pt>
                <c:pt idx="215">
                  <c:v>3.2156774795610112E-2</c:v>
                </c:pt>
                <c:pt idx="216">
                  <c:v>3.2884118659160196E-2</c:v>
                </c:pt>
                <c:pt idx="217">
                  <c:v>3.3624969419624597E-2</c:v>
                </c:pt>
                <c:pt idx="218">
                  <c:v>3.4379502445886174E-2</c:v>
                </c:pt>
                <c:pt idx="219">
                  <c:v>3.5147893584034917E-2</c:v>
                </c:pt>
                <c:pt idx="220">
                  <c:v>3.5930319112921841E-2</c:v>
                </c:pt>
                <c:pt idx="221">
                  <c:v>3.6726955698722266E-2</c:v>
                </c:pt>
                <c:pt idx="222">
                  <c:v>3.753798034851271E-2</c:v>
                </c:pt>
                <c:pt idx="223">
                  <c:v>3.8363570362867062E-2</c:v>
                </c:pt>
                <c:pt idx="224">
                  <c:v>3.9203903287478407E-2</c:v>
                </c:pt>
                <c:pt idx="225">
                  <c:v>4.0059156863812777E-2</c:v>
                </c:pt>
                <c:pt idx="226">
                  <c:v>4.092950897880298E-2</c:v>
                </c:pt>
                <c:pt idx="227">
                  <c:v>4.1815137613590458E-2</c:v>
                </c:pt>
                <c:pt idx="228">
                  <c:v>4.271622079132438E-2</c:v>
                </c:pt>
                <c:pt idx="229">
                  <c:v>4.3632936524027291E-2</c:v>
                </c:pt>
                <c:pt idx="230">
                  <c:v>4.4565462758538336E-2</c:v>
                </c:pt>
                <c:pt idx="231">
                  <c:v>4.5513977321545017E-2</c:v>
                </c:pt>
                <c:pt idx="232">
                  <c:v>4.6478657863715189E-2</c:v>
                </c:pt>
                <c:pt idx="233">
                  <c:v>4.7459681802942355E-2</c:v>
                </c:pt>
                <c:pt idx="234">
                  <c:v>4.8457226266717786E-2</c:v>
                </c:pt>
                <c:pt idx="235">
                  <c:v>4.9471468033642975E-2</c:v>
                </c:pt>
                <c:pt idx="236">
                  <c:v>5.0502583474098507E-2</c:v>
                </c:pt>
                <c:pt idx="237">
                  <c:v>5.1550748490084064E-2</c:v>
                </c:pt>
                <c:pt idx="238">
                  <c:v>5.2616138454246647E-2</c:v>
                </c:pt>
                <c:pt idx="239">
                  <c:v>5.3698928148114215E-2</c:v>
                </c:pt>
                <c:pt idx="240">
                  <c:v>5.479929169955243E-2</c:v>
                </c:pt>
                <c:pt idx="241">
                  <c:v>5.5917402519463796E-2</c:v>
                </c:pt>
                <c:pt idx="242">
                  <c:v>5.7053433237748481E-2</c:v>
                </c:pt>
                <c:pt idx="243">
                  <c:v>5.8207555638547195E-2</c:v>
                </c:pt>
                <c:pt idx="244">
                  <c:v>5.9379940594787101E-2</c:v>
                </c:pt>
                <c:pt idx="245">
                  <c:v>6.0570758002053013E-2</c:v>
                </c:pt>
                <c:pt idx="246">
                  <c:v>6.1780176711805801E-2</c:v>
                </c:pt>
                <c:pt idx="247">
                  <c:v>6.3008364463972205E-2</c:v>
                </c:pt>
                <c:pt idx="248">
                  <c:v>6.4255487818929508E-2</c:v>
                </c:pt>
                <c:pt idx="249">
                  <c:v>6.5521712088910097E-2</c:v>
                </c:pt>
                <c:pt idx="250">
                  <c:v>6.6807201268851577E-2</c:v>
                </c:pt>
                <c:pt idx="251">
                  <c:v>6.8112117966718885E-2</c:v>
                </c:pt>
                <c:pt idx="252">
                  <c:v>6.9436623333325051E-2</c:v>
                </c:pt>
                <c:pt idx="253">
                  <c:v>7.0780876991678787E-2</c:v>
                </c:pt>
                <c:pt idx="254">
                  <c:v>7.2145036965886894E-2</c:v>
                </c:pt>
                <c:pt idx="255">
                  <c:v>7.3529259609641379E-2</c:v>
                </c:pt>
                <c:pt idx="256">
                  <c:v>7.4933699534319997E-2</c:v>
                </c:pt>
                <c:pt idx="257">
                  <c:v>7.6358509536731914E-2</c:v>
                </c:pt>
                <c:pt idx="258">
                  <c:v>7.7803840526539117E-2</c:v>
                </c:pt>
                <c:pt idx="259">
                  <c:v>7.9269841453383505E-2</c:v>
                </c:pt>
                <c:pt idx="260">
                  <c:v>8.0756659233762032E-2</c:v>
                </c:pt>
                <c:pt idx="261">
                  <c:v>8.2264438677659826E-2</c:v>
                </c:pt>
                <c:pt idx="262">
                  <c:v>8.3793322415004992E-2</c:v>
                </c:pt>
                <c:pt idx="263">
                  <c:v>8.5343450821957587E-2</c:v>
                </c:pt>
                <c:pt idx="264">
                  <c:v>8.69149619470755E-2</c:v>
                </c:pt>
                <c:pt idx="265">
                  <c:v>8.850799143739238E-2</c:v>
                </c:pt>
                <c:pt idx="266">
                  <c:v>9.0122672464442707E-2</c:v>
                </c:pt>
                <c:pt idx="267">
                  <c:v>9.1759135650270926E-2</c:v>
                </c:pt>
                <c:pt idx="268">
                  <c:v>9.3417508993461781E-2</c:v>
                </c:pt>
                <c:pt idx="269">
                  <c:v>9.5097917795228859E-2</c:v>
                </c:pt>
                <c:pt idx="270">
                  <c:v>9.6800484585600005E-2</c:v>
                </c:pt>
                <c:pt idx="271">
                  <c:v>9.8525329049737431E-2</c:v>
                </c:pt>
                <c:pt idx="272">
                  <c:v>0.10027256795443155</c:v>
                </c:pt>
                <c:pt idx="273">
                  <c:v>0.10204231507480845</c:v>
                </c:pt>
                <c:pt idx="274">
                  <c:v>0.10383468112128957</c:v>
                </c:pt>
                <c:pt idx="275">
                  <c:v>0.10564977366684429</c:v>
                </c:pt>
                <c:pt idx="276">
                  <c:v>0.10748769707457581</c:v>
                </c:pt>
                <c:pt idx="277">
                  <c:v>0.10934855242568067</c:v>
                </c:pt>
                <c:pt idx="278">
                  <c:v>0.1112324374478232</c:v>
                </c:pt>
                <c:pt idx="279">
                  <c:v>0.11313944644396577</c:v>
                </c:pt>
                <c:pt idx="280">
                  <c:v>0.11506967022169665</c:v>
                </c:pt>
                <c:pt idx="281">
                  <c:v>0.11702319602309692</c:v>
                </c:pt>
                <c:pt idx="282">
                  <c:v>0.11900010745518876</c:v>
                </c:pt>
                <c:pt idx="283">
                  <c:v>0.12100048442100607</c:v>
                </c:pt>
                <c:pt idx="284">
                  <c:v>0.12302440305133114</c:v>
                </c:pt>
                <c:pt idx="285">
                  <c:v>0.12507193563713784</c:v>
                </c:pt>
                <c:pt idx="286">
                  <c:v>0.12714315056278572</c:v>
                </c:pt>
                <c:pt idx="287">
                  <c:v>0.12923811224000514</c:v>
                </c:pt>
                <c:pt idx="288">
                  <c:v>0.13135688104271789</c:v>
                </c:pt>
                <c:pt idx="289">
                  <c:v>0.13349951324273429</c:v>
                </c:pt>
                <c:pt idx="290">
                  <c:v>0.13566606094636957</c:v>
                </c:pt>
                <c:pt idx="291">
                  <c:v>0.13785657203202226</c:v>
                </c:pt>
                <c:pt idx="292">
                  <c:v>0.14007109008875568</c:v>
                </c:pt>
                <c:pt idx="293">
                  <c:v>0.14230965435592571</c:v>
                </c:pt>
                <c:pt idx="294">
                  <c:v>0.1445722996638959</c:v>
                </c:pt>
                <c:pt idx="295">
                  <c:v>0.14685905637588215</c:v>
                </c:pt>
                <c:pt idx="296">
                  <c:v>0.14916995033096744</c:v>
                </c:pt>
                <c:pt idx="297">
                  <c:v>0.15150500278832962</c:v>
                </c:pt>
                <c:pt idx="298">
                  <c:v>0.1538642303727206</c:v>
                </c:pt>
                <c:pt idx="299">
                  <c:v>0.15624764502124022</c:v>
                </c:pt>
                <c:pt idx="300">
                  <c:v>0.1586552539314425</c:v>
                </c:pt>
                <c:pt idx="301">
                  <c:v>0.1610870595108162</c:v>
                </c:pt>
                <c:pt idx="302">
                  <c:v>0.16354305932767751</c:v>
                </c:pt>
                <c:pt idx="303">
                  <c:v>0.16602324606351465</c:v>
                </c:pt>
                <c:pt idx="304">
                  <c:v>0.16852760746682272</c:v>
                </c:pt>
                <c:pt idx="305">
                  <c:v>0.17105612630846656</c:v>
                </c:pt>
                <c:pt idx="306">
                  <c:v>0.17360878033860916</c:v>
                </c:pt>
                <c:pt idx="307">
                  <c:v>0.17618554224524238</c:v>
                </c:pt>
                <c:pt idx="308">
                  <c:v>0.17878637961435601</c:v>
                </c:pt>
                <c:pt idx="309">
                  <c:v>0.18141125489178142</c:v>
                </c:pt>
                <c:pt idx="310">
                  <c:v>0.18406012534674351</c:v>
                </c:pt>
                <c:pt idx="311">
                  <c:v>0.18673294303715651</c:v>
                </c:pt>
                <c:pt idx="312">
                  <c:v>0.18942965477669588</c:v>
                </c:pt>
                <c:pt idx="313">
                  <c:v>0.19215020210367983</c:v>
                </c:pt>
                <c:pt idx="314">
                  <c:v>0.19489452125179174</c:v>
                </c:pt>
                <c:pt idx="315">
                  <c:v>0.1976625431226757</c:v>
                </c:pt>
                <c:pt idx="316">
                  <c:v>0.20045419326043282</c:v>
                </c:pt>
                <c:pt idx="317">
                  <c:v>0.20326939182805143</c:v>
                </c:pt>
                <c:pt idx="318">
                  <c:v>0.20610805358579595</c:v>
                </c:pt>
                <c:pt idx="319">
                  <c:v>0.20897008787158436</c:v>
                </c:pt>
                <c:pt idx="320">
                  <c:v>0.21185539858337929</c:v>
                </c:pt>
                <c:pt idx="321">
                  <c:v>0.21476388416361961</c:v>
                </c:pt>
                <c:pt idx="322">
                  <c:v>0.21769543758571547</c:v>
                </c:pt>
                <c:pt idx="323">
                  <c:v>0.22064994634263183</c:v>
                </c:pt>
                <c:pt idx="324">
                  <c:v>0.2236272924375815</c:v>
                </c:pt>
                <c:pt idx="325">
                  <c:v>0.22662735237685006</c:v>
                </c:pt>
                <c:pt idx="326">
                  <c:v>0.22964999716477238</c:v>
                </c:pt>
                <c:pt idx="327">
                  <c:v>0.23269509230087901</c:v>
                </c:pt>
                <c:pt idx="328">
                  <c:v>0.23576249777923269</c:v>
                </c:pt>
                <c:pt idx="329">
                  <c:v>0.23885206808996814</c:v>
                </c:pt>
                <c:pt idx="330">
                  <c:v>0.24196365222305422</c:v>
                </c:pt>
                <c:pt idx="331">
                  <c:v>0.24509709367429056</c:v>
                </c:pt>
                <c:pt idx="332">
                  <c:v>0.24825223045355149</c:v>
                </c:pt>
                <c:pt idx="333">
                  <c:v>0.25142889509529098</c:v>
                </c:pt>
                <c:pt idx="334">
                  <c:v>0.25462691467131682</c:v>
                </c:pt>
                <c:pt idx="335">
                  <c:v>0.25784611080584535</c:v>
                </c:pt>
                <c:pt idx="336">
                  <c:v>0.26108629969284214</c:v>
                </c:pt>
                <c:pt idx="337">
                  <c:v>0.26434729211565788</c:v>
                </c:pt>
                <c:pt idx="338">
                  <c:v>0.26762889346896324</c:v>
                </c:pt>
                <c:pt idx="339">
                  <c:v>0.27093090378298573</c:v>
                </c:pt>
                <c:pt idx="340">
                  <c:v>0.27425311775005357</c:v>
                </c:pt>
                <c:pt idx="341">
                  <c:v>0.27759532475344473</c:v>
                </c:pt>
                <c:pt idx="342">
                  <c:v>0.28095730889854409</c:v>
                </c:pt>
                <c:pt idx="343">
                  <c:v>0.28433884904630374</c:v>
                </c:pt>
                <c:pt idx="344">
                  <c:v>0.28773971884900651</c:v>
                </c:pt>
                <c:pt idx="345">
                  <c:v>0.29115968678832571</c:v>
                </c:pt>
                <c:pt idx="346">
                  <c:v>0.29459851621567734</c:v>
                </c:pt>
                <c:pt idx="347">
                  <c:v>0.29805596539485563</c:v>
                </c:pt>
                <c:pt idx="348">
                  <c:v>0.30153178754694565</c:v>
                </c:pt>
                <c:pt idx="349">
                  <c:v>0.30502573089749874</c:v>
                </c:pt>
                <c:pt idx="350">
                  <c:v>0.30853753872596612</c:v>
                </c:pt>
                <c:pt idx="351">
                  <c:v>0.31206694941736968</c:v>
                </c:pt>
                <c:pt idx="352">
                  <c:v>0.31561369651620164</c:v>
                </c:pt>
                <c:pt idx="353">
                  <c:v>0.3191775087825347</c:v>
                </c:pt>
                <c:pt idx="354">
                  <c:v>0.32275811025032652</c:v>
                </c:pt>
                <c:pt idx="355">
                  <c:v>0.32635522028789876</c:v>
                </c:pt>
                <c:pt idx="356">
                  <c:v>0.32996855366057226</c:v>
                </c:pt>
                <c:pt idx="357">
                  <c:v>0.33359782059543619</c:v>
                </c:pt>
                <c:pt idx="358">
                  <c:v>0.33724272684822787</c:v>
                </c:pt>
                <c:pt idx="359">
                  <c:v>0.34090297377230094</c:v>
                </c:pt>
                <c:pt idx="360">
                  <c:v>0.34457825838965406</c:v>
                </c:pt>
                <c:pt idx="361">
                  <c:v>0.34826827346399575</c:v>
                </c:pt>
                <c:pt idx="362">
                  <c:v>0.35197270757581534</c:v>
                </c:pt>
                <c:pt idx="363">
                  <c:v>0.35569124519943124</c:v>
                </c:pt>
                <c:pt idx="364">
                  <c:v>0.35942356678198673</c:v>
                </c:pt>
                <c:pt idx="365">
                  <c:v>0.36316934882435881</c:v>
                </c:pt>
                <c:pt idx="366">
                  <c:v>0.36692826396394973</c:v>
                </c:pt>
                <c:pt idx="367">
                  <c:v>0.37069998105932411</c:v>
                </c:pt>
                <c:pt idx="368">
                  <c:v>0.37448416527665757</c:v>
                </c:pt>
                <c:pt idx="369">
                  <c:v>0.37828047817795823</c:v>
                </c:pt>
                <c:pt idx="370">
                  <c:v>0.38208857781102484</c:v>
                </c:pt>
                <c:pt idx="371">
                  <c:v>0.3859081188011001</c:v>
                </c:pt>
                <c:pt idx="372">
                  <c:v>0.38973875244418016</c:v>
                </c:pt>
                <c:pt idx="373">
                  <c:v>0.39358012680193777</c:v>
                </c:pt>
                <c:pt idx="374">
                  <c:v>0.39743188679821673</c:v>
                </c:pt>
                <c:pt idx="375">
                  <c:v>0.40129367431705343</c:v>
                </c:pt>
                <c:pt idx="376">
                  <c:v>0.40516512830218127</c:v>
                </c:pt>
                <c:pt idx="377">
                  <c:v>0.40904588485797122</c:v>
                </c:pt>
                <c:pt idx="378">
                  <c:v>0.4129355773517624</c:v>
                </c:pt>
                <c:pt idx="379">
                  <c:v>0.41683383651753469</c:v>
                </c:pt>
                <c:pt idx="380">
                  <c:v>0.42074029056087392</c:v>
                </c:pt>
                <c:pt idx="381">
                  <c:v>0.42465456526518142</c:v>
                </c:pt>
                <c:pt idx="382">
                  <c:v>0.42857628409907611</c:v>
                </c:pt>
                <c:pt idx="383">
                  <c:v>0.4325050683249384</c:v>
                </c:pt>
                <c:pt idx="384">
                  <c:v>0.43644053710854391</c:v>
                </c:pt>
                <c:pt idx="385">
                  <c:v>0.44038230762973418</c:v>
                </c:pt>
                <c:pt idx="386">
                  <c:v>0.44432999519407024</c:v>
                </c:pt>
                <c:pt idx="387">
                  <c:v>0.44828321334541549</c:v>
                </c:pt>
                <c:pt idx="388">
                  <c:v>0.4522415739793928</c:v>
                </c:pt>
                <c:pt idx="389">
                  <c:v>0.4562046874576598</c:v>
                </c:pt>
                <c:pt idx="390">
                  <c:v>0.46017216272294759</c:v>
                </c:pt>
                <c:pt idx="391">
                  <c:v>0.46414360741480443</c:v>
                </c:pt>
                <c:pt idx="392">
                  <c:v>0.46811862798598913</c:v>
                </c:pt>
                <c:pt idx="393">
                  <c:v>0.47209682981945539</c:v>
                </c:pt>
                <c:pt idx="394">
                  <c:v>0.47607781734586968</c:v>
                </c:pt>
                <c:pt idx="395">
                  <c:v>0.48006119416160403</c:v>
                </c:pt>
                <c:pt idx="396">
                  <c:v>0.48404656314714573</c:v>
                </c:pt>
                <c:pt idx="397">
                  <c:v>0.48803352658586385</c:v>
                </c:pt>
                <c:pt idx="398">
                  <c:v>0.49202168628307447</c:v>
                </c:pt>
                <c:pt idx="399">
                  <c:v>0.49601064368534487</c:v>
                </c:pt>
                <c:pt idx="400">
                  <c:v>0.5</c:v>
                </c:pt>
                <c:pt idx="401">
                  <c:v>0.5039893563146316</c:v>
                </c:pt>
                <c:pt idx="402">
                  <c:v>0.50797831371690205</c:v>
                </c:pt>
                <c:pt idx="403">
                  <c:v>0.51196647341411272</c:v>
                </c:pt>
                <c:pt idx="404">
                  <c:v>0.51595343685283068</c:v>
                </c:pt>
                <c:pt idx="405">
                  <c:v>0.51993880583837249</c:v>
                </c:pt>
                <c:pt idx="406">
                  <c:v>0.52392218265410684</c:v>
                </c:pt>
                <c:pt idx="407">
                  <c:v>0.52790317018052113</c:v>
                </c:pt>
                <c:pt idx="408">
                  <c:v>0.53188137201398744</c:v>
                </c:pt>
                <c:pt idx="409">
                  <c:v>0.53585639258517204</c:v>
                </c:pt>
                <c:pt idx="410">
                  <c:v>0.53982783727702899</c:v>
                </c:pt>
                <c:pt idx="411">
                  <c:v>0.54379531254231672</c:v>
                </c:pt>
                <c:pt idx="412">
                  <c:v>0.54775842602058389</c:v>
                </c:pt>
                <c:pt idx="413">
                  <c:v>0.55171678665456114</c:v>
                </c:pt>
                <c:pt idx="414">
                  <c:v>0.55567000480590645</c:v>
                </c:pt>
                <c:pt idx="415">
                  <c:v>0.5596176923702425</c:v>
                </c:pt>
                <c:pt idx="416">
                  <c:v>0.56355946289143288</c:v>
                </c:pt>
                <c:pt idx="417">
                  <c:v>0.56749493167503839</c:v>
                </c:pt>
                <c:pt idx="418">
                  <c:v>0.5714237159009008</c:v>
                </c:pt>
                <c:pt idx="419">
                  <c:v>0.57534543473479549</c:v>
                </c:pt>
                <c:pt idx="420">
                  <c:v>0.57925970943910299</c:v>
                </c:pt>
                <c:pt idx="421">
                  <c:v>0.58316616348244232</c:v>
                </c:pt>
                <c:pt idx="422">
                  <c:v>0.58706442264821468</c:v>
                </c:pt>
                <c:pt idx="423">
                  <c:v>0.59095411514200591</c:v>
                </c:pt>
                <c:pt idx="424">
                  <c:v>0.59483487169779581</c:v>
                </c:pt>
                <c:pt idx="425">
                  <c:v>0.5987063256829237</c:v>
                </c:pt>
                <c:pt idx="426">
                  <c:v>0.60256811320176051</c:v>
                </c:pt>
                <c:pt idx="427">
                  <c:v>0.60641987319803947</c:v>
                </c:pt>
                <c:pt idx="428">
                  <c:v>0.61026124755579725</c:v>
                </c:pt>
                <c:pt idx="429">
                  <c:v>0.61409188119887737</c:v>
                </c:pt>
                <c:pt idx="430">
                  <c:v>0.61791142218895267</c:v>
                </c:pt>
                <c:pt idx="431">
                  <c:v>0.62171952182201928</c:v>
                </c:pt>
                <c:pt idx="432">
                  <c:v>0.62551583472332006</c:v>
                </c:pt>
                <c:pt idx="433">
                  <c:v>0.62930001894065357</c:v>
                </c:pt>
                <c:pt idx="434">
                  <c:v>0.63307173603602807</c:v>
                </c:pt>
                <c:pt idx="435">
                  <c:v>0.6368306511756191</c:v>
                </c:pt>
                <c:pt idx="436">
                  <c:v>0.64057643321799129</c:v>
                </c:pt>
                <c:pt idx="437">
                  <c:v>0.64430875480054683</c:v>
                </c:pt>
                <c:pt idx="438">
                  <c:v>0.64802729242416279</c:v>
                </c:pt>
                <c:pt idx="439">
                  <c:v>0.65173172653598244</c:v>
                </c:pt>
                <c:pt idx="440">
                  <c:v>0.65542174161032429</c:v>
                </c:pt>
                <c:pt idx="441">
                  <c:v>0.65909702622767741</c:v>
                </c:pt>
                <c:pt idx="442">
                  <c:v>0.66275727315175048</c:v>
                </c:pt>
                <c:pt idx="443">
                  <c:v>0.66640217940454238</c:v>
                </c:pt>
                <c:pt idx="444">
                  <c:v>0.67003144633940637</c:v>
                </c:pt>
                <c:pt idx="445">
                  <c:v>0.67364477971208003</c:v>
                </c:pt>
                <c:pt idx="446">
                  <c:v>0.67724188974965227</c:v>
                </c:pt>
                <c:pt idx="447">
                  <c:v>0.6808224912174442</c:v>
                </c:pt>
                <c:pt idx="448">
                  <c:v>0.68438630348377738</c:v>
                </c:pt>
                <c:pt idx="449">
                  <c:v>0.68793305058260945</c:v>
                </c:pt>
                <c:pt idx="450">
                  <c:v>0.69146246127401312</c:v>
                </c:pt>
                <c:pt idx="451">
                  <c:v>0.69497426910248061</c:v>
                </c:pt>
                <c:pt idx="452">
                  <c:v>0.69846821245303381</c:v>
                </c:pt>
                <c:pt idx="453">
                  <c:v>0.70194403460512356</c:v>
                </c:pt>
                <c:pt idx="454">
                  <c:v>0.70540148378430201</c:v>
                </c:pt>
                <c:pt idx="455">
                  <c:v>0.70884031321165364</c:v>
                </c:pt>
                <c:pt idx="456">
                  <c:v>0.71226028115097295</c:v>
                </c:pt>
                <c:pt idx="457">
                  <c:v>0.71566115095367588</c:v>
                </c:pt>
                <c:pt idx="458">
                  <c:v>0.7190426911014357</c:v>
                </c:pt>
                <c:pt idx="459">
                  <c:v>0.72240467524653507</c:v>
                </c:pt>
                <c:pt idx="460">
                  <c:v>0.72574688224992645</c:v>
                </c:pt>
                <c:pt idx="461">
                  <c:v>0.72906909621699434</c:v>
                </c:pt>
                <c:pt idx="462">
                  <c:v>0.732371106531017</c:v>
                </c:pt>
                <c:pt idx="463">
                  <c:v>0.73565270788432247</c:v>
                </c:pt>
                <c:pt idx="464">
                  <c:v>0.73891370030713843</c:v>
                </c:pt>
                <c:pt idx="465">
                  <c:v>0.74215388919413527</c:v>
                </c:pt>
                <c:pt idx="466">
                  <c:v>0.74537308532866398</c:v>
                </c:pt>
                <c:pt idx="467">
                  <c:v>0.74857110490468992</c:v>
                </c:pt>
                <c:pt idx="468">
                  <c:v>0.75174776954642952</c:v>
                </c:pt>
                <c:pt idx="469">
                  <c:v>0.75490290632569057</c:v>
                </c:pt>
                <c:pt idx="470">
                  <c:v>0.75803634777692697</c:v>
                </c:pt>
                <c:pt idx="471">
                  <c:v>0.76114793191001329</c:v>
                </c:pt>
                <c:pt idx="472">
                  <c:v>0.76423750222074882</c:v>
                </c:pt>
                <c:pt idx="473">
                  <c:v>0.76730490769910253</c:v>
                </c:pt>
                <c:pt idx="474">
                  <c:v>0.77035000283520938</c:v>
                </c:pt>
                <c:pt idx="475">
                  <c:v>0.77337264762313174</c:v>
                </c:pt>
                <c:pt idx="476">
                  <c:v>0.77637270756240062</c:v>
                </c:pt>
                <c:pt idx="477">
                  <c:v>0.77935005365735044</c:v>
                </c:pt>
                <c:pt idx="478">
                  <c:v>0.78230456241426694</c:v>
                </c:pt>
                <c:pt idx="479">
                  <c:v>0.78523611583636288</c:v>
                </c:pt>
                <c:pt idx="480">
                  <c:v>0.78814460141660336</c:v>
                </c:pt>
                <c:pt idx="481">
                  <c:v>0.79102991212839835</c:v>
                </c:pt>
                <c:pt idx="482">
                  <c:v>0.79389194641418692</c:v>
                </c:pt>
                <c:pt idx="483">
                  <c:v>0.79673060817193153</c:v>
                </c:pt>
                <c:pt idx="484">
                  <c:v>0.79954580673955034</c:v>
                </c:pt>
                <c:pt idx="485">
                  <c:v>0.80233745687730762</c:v>
                </c:pt>
                <c:pt idx="486">
                  <c:v>0.80510547874819172</c:v>
                </c:pt>
                <c:pt idx="487">
                  <c:v>0.80784979789630373</c:v>
                </c:pt>
                <c:pt idx="488">
                  <c:v>0.81057034522328786</c:v>
                </c:pt>
                <c:pt idx="489">
                  <c:v>0.81326705696282742</c:v>
                </c:pt>
                <c:pt idx="490">
                  <c:v>0.81593987465324047</c:v>
                </c:pt>
                <c:pt idx="491">
                  <c:v>0.81858874510820279</c:v>
                </c:pt>
                <c:pt idx="492">
                  <c:v>0.82121362038562828</c:v>
                </c:pt>
                <c:pt idx="493">
                  <c:v>0.82381445775474216</c:v>
                </c:pt>
                <c:pt idx="494">
                  <c:v>0.82639121966137541</c:v>
                </c:pt>
                <c:pt idx="495">
                  <c:v>0.82894387369151812</c:v>
                </c:pt>
                <c:pt idx="496">
                  <c:v>0.83147239253316219</c:v>
                </c:pt>
                <c:pt idx="497">
                  <c:v>0.83397675393647042</c:v>
                </c:pt>
                <c:pt idx="498">
                  <c:v>0.83645694067230769</c:v>
                </c:pt>
                <c:pt idx="499">
                  <c:v>0.83891294048916909</c:v>
                </c:pt>
                <c:pt idx="500">
                  <c:v>0.84134474606854304</c:v>
                </c:pt>
                <c:pt idx="501">
                  <c:v>0.84375235497874546</c:v>
                </c:pt>
                <c:pt idx="502">
                  <c:v>0.84613576962726511</c:v>
                </c:pt>
                <c:pt idx="503">
                  <c:v>0.84849499721165633</c:v>
                </c:pt>
                <c:pt idx="504">
                  <c:v>0.85083004966901865</c:v>
                </c:pt>
                <c:pt idx="505">
                  <c:v>0.85314094362410409</c:v>
                </c:pt>
                <c:pt idx="506">
                  <c:v>0.85542770033609039</c:v>
                </c:pt>
                <c:pt idx="507">
                  <c:v>0.85769034564406077</c:v>
                </c:pt>
                <c:pt idx="508">
                  <c:v>0.85992890991123094</c:v>
                </c:pt>
                <c:pt idx="509">
                  <c:v>0.8621434279679645</c:v>
                </c:pt>
                <c:pt idx="510">
                  <c:v>0.86433393905361733</c:v>
                </c:pt>
                <c:pt idx="511">
                  <c:v>0.86650048675725277</c:v>
                </c:pt>
                <c:pt idx="512">
                  <c:v>0.86864311895726931</c:v>
                </c:pt>
                <c:pt idx="513">
                  <c:v>0.8707618877599822</c:v>
                </c:pt>
                <c:pt idx="514">
                  <c:v>0.87285684943720176</c:v>
                </c:pt>
                <c:pt idx="515">
                  <c:v>0.87492806436284976</c:v>
                </c:pt>
                <c:pt idx="516">
                  <c:v>0.87697559694865657</c:v>
                </c:pt>
                <c:pt idx="517">
                  <c:v>0.87899951557898182</c:v>
                </c:pt>
                <c:pt idx="518">
                  <c:v>0.88099989254479927</c:v>
                </c:pt>
                <c:pt idx="519">
                  <c:v>0.88297680397689138</c:v>
                </c:pt>
                <c:pt idx="520">
                  <c:v>0.88493032977829178</c:v>
                </c:pt>
                <c:pt idx="521">
                  <c:v>0.88686055355602278</c:v>
                </c:pt>
                <c:pt idx="522">
                  <c:v>0.88876756255216538</c:v>
                </c:pt>
                <c:pt idx="523">
                  <c:v>0.89065144757430814</c:v>
                </c:pt>
                <c:pt idx="524">
                  <c:v>0.89251230292541306</c:v>
                </c:pt>
                <c:pt idx="525">
                  <c:v>0.89435022633314476</c:v>
                </c:pt>
                <c:pt idx="526">
                  <c:v>0.89616531887869966</c:v>
                </c:pt>
                <c:pt idx="527">
                  <c:v>0.89795768492518091</c:v>
                </c:pt>
                <c:pt idx="528">
                  <c:v>0.89972743204555794</c:v>
                </c:pt>
                <c:pt idx="529">
                  <c:v>0.90147467095025213</c:v>
                </c:pt>
                <c:pt idx="530">
                  <c:v>0.9031995154143897</c:v>
                </c:pt>
                <c:pt idx="531">
                  <c:v>0.90490208220476098</c:v>
                </c:pt>
                <c:pt idx="532">
                  <c:v>0.90658249100652821</c:v>
                </c:pt>
                <c:pt idx="533">
                  <c:v>0.90824086434971918</c:v>
                </c:pt>
                <c:pt idx="534">
                  <c:v>0.90987732753554751</c:v>
                </c:pt>
                <c:pt idx="535">
                  <c:v>0.91149200856259804</c:v>
                </c:pt>
                <c:pt idx="536">
                  <c:v>0.91308503805291497</c:v>
                </c:pt>
                <c:pt idx="537">
                  <c:v>0.91465654917803307</c:v>
                </c:pt>
                <c:pt idx="538">
                  <c:v>0.91620667758498575</c:v>
                </c:pt>
                <c:pt idx="539">
                  <c:v>0.91773556132233103</c:v>
                </c:pt>
                <c:pt idx="540">
                  <c:v>0.91924334076622893</c:v>
                </c:pt>
                <c:pt idx="541">
                  <c:v>0.92073015854660756</c:v>
                </c:pt>
                <c:pt idx="542">
                  <c:v>0.92219615947345368</c:v>
                </c:pt>
                <c:pt idx="543">
                  <c:v>0.92364149046326083</c:v>
                </c:pt>
                <c:pt idx="544">
                  <c:v>0.92506630046567295</c:v>
                </c:pt>
                <c:pt idx="545">
                  <c:v>0.9264707403903516</c:v>
                </c:pt>
                <c:pt idx="546">
                  <c:v>0.92785496303410619</c:v>
                </c:pt>
                <c:pt idx="547">
                  <c:v>0.92921912300831444</c:v>
                </c:pt>
                <c:pt idx="548">
                  <c:v>0.93056337666666833</c:v>
                </c:pt>
                <c:pt idx="549">
                  <c:v>0.93188788203327455</c:v>
                </c:pt>
                <c:pt idx="550">
                  <c:v>0.93319279873114191</c:v>
                </c:pt>
                <c:pt idx="551">
                  <c:v>0.93447828791108356</c:v>
                </c:pt>
                <c:pt idx="552">
                  <c:v>0.93574451218106425</c:v>
                </c:pt>
                <c:pt idx="553">
                  <c:v>0.93699163553602161</c:v>
                </c:pt>
                <c:pt idx="554">
                  <c:v>0.93821982328818809</c:v>
                </c:pt>
                <c:pt idx="555">
                  <c:v>0.93942924199794098</c:v>
                </c:pt>
                <c:pt idx="556">
                  <c:v>0.94062005940520699</c:v>
                </c:pt>
                <c:pt idx="557">
                  <c:v>0.94179244436144693</c:v>
                </c:pt>
                <c:pt idx="558">
                  <c:v>0.94294656676224586</c:v>
                </c:pt>
                <c:pt idx="559">
                  <c:v>0.94408259748053058</c:v>
                </c:pt>
                <c:pt idx="560">
                  <c:v>0.94520070830044201</c:v>
                </c:pt>
                <c:pt idx="561">
                  <c:v>0.94630107185188028</c:v>
                </c:pt>
                <c:pt idx="562">
                  <c:v>0.94738386154574794</c:v>
                </c:pt>
                <c:pt idx="563">
                  <c:v>0.94844925150991066</c:v>
                </c:pt>
                <c:pt idx="564">
                  <c:v>0.94949741652589625</c:v>
                </c:pt>
                <c:pt idx="565">
                  <c:v>0.9505285319663519</c:v>
                </c:pt>
                <c:pt idx="566">
                  <c:v>0.95154277373327711</c:v>
                </c:pt>
                <c:pt idx="567">
                  <c:v>0.95254031819705265</c:v>
                </c:pt>
                <c:pt idx="568">
                  <c:v>0.95352134213627993</c:v>
                </c:pt>
                <c:pt idx="569">
                  <c:v>0.95448602267845017</c:v>
                </c:pt>
                <c:pt idx="570">
                  <c:v>0.95543453724145699</c:v>
                </c:pt>
                <c:pt idx="571">
                  <c:v>0.95636706347596812</c:v>
                </c:pt>
                <c:pt idx="572">
                  <c:v>0.95728377920867114</c:v>
                </c:pt>
                <c:pt idx="573">
                  <c:v>0.9581848623864051</c:v>
                </c:pt>
                <c:pt idx="574">
                  <c:v>0.95907049102119268</c:v>
                </c:pt>
                <c:pt idx="575">
                  <c:v>0.95994084313618289</c:v>
                </c:pt>
                <c:pt idx="576">
                  <c:v>0.96079609671251731</c:v>
                </c:pt>
                <c:pt idx="577">
                  <c:v>0.96163642963712881</c:v>
                </c:pt>
                <c:pt idx="578">
                  <c:v>0.96246201965148326</c:v>
                </c:pt>
                <c:pt idx="579">
                  <c:v>0.9632730443012737</c:v>
                </c:pt>
                <c:pt idx="580">
                  <c:v>0.96406968088707423</c:v>
                </c:pt>
                <c:pt idx="581">
                  <c:v>0.9648521064159612</c:v>
                </c:pt>
                <c:pt idx="582">
                  <c:v>0.96562049755411006</c:v>
                </c:pt>
                <c:pt idx="583">
                  <c:v>0.96637503058037166</c:v>
                </c:pt>
                <c:pt idx="584">
                  <c:v>0.96711588134083615</c:v>
                </c:pt>
                <c:pt idx="585">
                  <c:v>0.96784322520438626</c:v>
                </c:pt>
                <c:pt idx="586">
                  <c:v>0.96855723701924734</c:v>
                </c:pt>
                <c:pt idx="587">
                  <c:v>0.96925809107053407</c:v>
                </c:pt>
                <c:pt idx="588">
                  <c:v>0.96994596103880026</c:v>
                </c:pt>
                <c:pt idx="589">
                  <c:v>0.9706210199595906</c:v>
                </c:pt>
                <c:pt idx="590">
                  <c:v>0.97128344018399815</c:v>
                </c:pt>
                <c:pt idx="591">
                  <c:v>0.97193339334022744</c:v>
                </c:pt>
                <c:pt idx="592">
                  <c:v>0.9725710502961632</c:v>
                </c:pt>
                <c:pt idx="593">
                  <c:v>0.97319658112294505</c:v>
                </c:pt>
                <c:pt idx="594">
                  <c:v>0.97381015505954727</c:v>
                </c:pt>
                <c:pt idx="595">
                  <c:v>0.97441194047836144</c:v>
                </c:pt>
                <c:pt idx="596">
                  <c:v>0.97500210485177952</c:v>
                </c:pt>
                <c:pt idx="597">
                  <c:v>0.97558081471977742</c:v>
                </c:pt>
                <c:pt idx="598">
                  <c:v>0.97614823565849151</c:v>
                </c:pt>
                <c:pt idx="599">
                  <c:v>0.97670453224978815</c:v>
                </c:pt>
                <c:pt idx="600">
                  <c:v>0.97724986805182079</c:v>
                </c:pt>
                <c:pt idx="601">
                  <c:v>0.97778440557056856</c:v>
                </c:pt>
                <c:pt idx="602">
                  <c:v>0.97830830623235321</c:v>
                </c:pt>
                <c:pt idx="603">
                  <c:v>0.97882173035732778</c:v>
                </c:pt>
                <c:pt idx="604">
                  <c:v>0.97932483713392993</c:v>
                </c:pt>
                <c:pt idx="605">
                  <c:v>0.97981778459429558</c:v>
                </c:pt>
                <c:pt idx="606">
                  <c:v>0.98030072959062309</c:v>
                </c:pt>
                <c:pt idx="607">
                  <c:v>0.98077382777248268</c:v>
                </c:pt>
                <c:pt idx="608">
                  <c:v>0.98123723356506221</c:v>
                </c:pt>
                <c:pt idx="609">
                  <c:v>0.98169110014834104</c:v>
                </c:pt>
                <c:pt idx="610">
                  <c:v>0.98213557943718344</c:v>
                </c:pt>
                <c:pt idx="611">
                  <c:v>0.98257082206234292</c:v>
                </c:pt>
                <c:pt idx="612">
                  <c:v>0.98299697735236724</c:v>
                </c:pt>
                <c:pt idx="613">
                  <c:v>0.98341419331639501</c:v>
                </c:pt>
                <c:pt idx="614">
                  <c:v>0.98382261662783388</c:v>
                </c:pt>
                <c:pt idx="615">
                  <c:v>0.98422239260890954</c:v>
                </c:pt>
                <c:pt idx="616">
                  <c:v>0.98461366521607452</c:v>
                </c:pt>
                <c:pt idx="617">
                  <c:v>0.98499657702626775</c:v>
                </c:pt>
                <c:pt idx="618">
                  <c:v>0.98537126922401075</c:v>
                </c:pt>
                <c:pt idx="619">
                  <c:v>0.98573788158933118</c:v>
                </c:pt>
                <c:pt idx="620">
                  <c:v>0.98609655248650141</c:v>
                </c:pt>
                <c:pt idx="621">
                  <c:v>0.98644741885358</c:v>
                </c:pt>
                <c:pt idx="622">
                  <c:v>0.98679061619274377</c:v>
                </c:pt>
                <c:pt idx="623">
                  <c:v>0.98712627856139801</c:v>
                </c:pt>
                <c:pt idx="624">
                  <c:v>0.98745453856405341</c:v>
                </c:pt>
                <c:pt idx="625">
                  <c:v>0.98777552734495533</c:v>
                </c:pt>
                <c:pt idx="626">
                  <c:v>0.98808937458145296</c:v>
                </c:pt>
                <c:pt idx="627">
                  <c:v>0.98839620847809651</c:v>
                </c:pt>
                <c:pt idx="628">
                  <c:v>0.9886961557614472</c:v>
                </c:pt>
                <c:pt idx="629">
                  <c:v>0.98898934167558861</c:v>
                </c:pt>
                <c:pt idx="630">
                  <c:v>0.98927588997832416</c:v>
                </c:pt>
                <c:pt idx="631">
                  <c:v>0.98955592293804895</c:v>
                </c:pt>
                <c:pt idx="632">
                  <c:v>0.98982956133128031</c:v>
                </c:pt>
                <c:pt idx="633">
                  <c:v>0.99009692444083575</c:v>
                </c:pt>
                <c:pt idx="634">
                  <c:v>0.99035813005464168</c:v>
                </c:pt>
                <c:pt idx="635">
                  <c:v>0.99061329446516144</c:v>
                </c:pt>
                <c:pt idx="636">
                  <c:v>0.99086253246942735</c:v>
                </c:pt>
                <c:pt idx="637">
                  <c:v>0.99110595736966323</c:v>
                </c:pt>
                <c:pt idx="638">
                  <c:v>0.99134368097448344</c:v>
                </c:pt>
                <c:pt idx="639">
                  <c:v>0.99157581360065428</c:v>
                </c:pt>
                <c:pt idx="640">
                  <c:v>0.99180246407540384</c:v>
                </c:pt>
                <c:pt idx="641">
                  <c:v>0.99202373973926627</c:v>
                </c:pt>
                <c:pt idx="642">
                  <c:v>0.99223974644944635</c:v>
                </c:pt>
                <c:pt idx="643">
                  <c:v>0.99245058858369084</c:v>
                </c:pt>
                <c:pt idx="644">
                  <c:v>0.99265636904465171</c:v>
                </c:pt>
                <c:pt idx="645">
                  <c:v>0.99285718926472855</c:v>
                </c:pt>
                <c:pt idx="646">
                  <c:v>0.99305314921137566</c:v>
                </c:pt>
                <c:pt idx="647">
                  <c:v>0.99324434739285938</c:v>
                </c:pt>
                <c:pt idx="648">
                  <c:v>0.99343088086445319</c:v>
                </c:pt>
                <c:pt idx="649">
                  <c:v>0.99361284523505677</c:v>
                </c:pt>
                <c:pt idx="650">
                  <c:v>0.99379033467422384</c:v>
                </c:pt>
                <c:pt idx="651">
                  <c:v>0.9939634419195873</c:v>
                </c:pt>
                <c:pt idx="652">
                  <c:v>0.99413225828466745</c:v>
                </c:pt>
                <c:pt idx="653">
                  <c:v>0.99429687366704933</c:v>
                </c:pt>
                <c:pt idx="654">
                  <c:v>0.99445737655691735</c:v>
                </c:pt>
                <c:pt idx="655">
                  <c:v>0.99461385404593328</c:v>
                </c:pt>
                <c:pt idx="656">
                  <c:v>0.99476639183644422</c:v>
                </c:pt>
                <c:pt idx="657">
                  <c:v>0.994915074251009</c:v>
                </c:pt>
                <c:pt idx="658">
                  <c:v>0.99505998424222941</c:v>
                </c:pt>
                <c:pt idx="659">
                  <c:v>0.99520120340287377</c:v>
                </c:pt>
                <c:pt idx="660">
                  <c:v>0.99533881197628127</c:v>
                </c:pt>
                <c:pt idx="661">
                  <c:v>0.99547288886703267</c:v>
                </c:pt>
                <c:pt idx="662">
                  <c:v>0.99560351165187866</c:v>
                </c:pt>
                <c:pt idx="663">
                  <c:v>0.9957307565909107</c:v>
                </c:pt>
                <c:pt idx="664">
                  <c:v>0.99585469863896392</c:v>
                </c:pt>
                <c:pt idx="665">
                  <c:v>0.99597541145724167</c:v>
                </c:pt>
                <c:pt idx="666">
                  <c:v>0.99609296742514719</c:v>
                </c:pt>
                <c:pt idx="667">
                  <c:v>0.99620743765231456</c:v>
                </c:pt>
                <c:pt idx="668">
                  <c:v>0.99631889199082502</c:v>
                </c:pt>
                <c:pt idx="669">
                  <c:v>0.99642739904760025</c:v>
                </c:pt>
                <c:pt idx="670">
                  <c:v>0.99653302619695938</c:v>
                </c:pt>
                <c:pt idx="671">
                  <c:v>0.9966358395933308</c:v>
                </c:pt>
                <c:pt idx="672">
                  <c:v>0.99673590418410873</c:v>
                </c:pt>
                <c:pt idx="673">
                  <c:v>0.99683328372264224</c:v>
                </c:pt>
                <c:pt idx="674">
                  <c:v>0.99692804078134956</c:v>
                </c:pt>
                <c:pt idx="675">
                  <c:v>0.99702023676494544</c:v>
                </c:pt>
                <c:pt idx="676">
                  <c:v>0.99710993192377384</c:v>
                </c:pt>
                <c:pt idx="677">
                  <c:v>0.99719718536723501</c:v>
                </c:pt>
                <c:pt idx="678">
                  <c:v>0.99728205507729872</c:v>
                </c:pt>
                <c:pt idx="679">
                  <c:v>0.99736459792209509</c:v>
                </c:pt>
                <c:pt idx="680">
                  <c:v>0.99744486966957202</c:v>
                </c:pt>
                <c:pt idx="681">
                  <c:v>0.99752292500121409</c:v>
                </c:pt>
                <c:pt idx="682">
                  <c:v>0.9975988175258107</c:v>
                </c:pt>
                <c:pt idx="683">
                  <c:v>0.9976725997932685</c:v>
                </c:pt>
                <c:pt idx="684">
                  <c:v>0.99774432330845764</c:v>
                </c:pt>
                <c:pt idx="685">
                  <c:v>0.99781403854508677</c:v>
                </c:pt>
                <c:pt idx="686">
                  <c:v>0.99788179495959539</c:v>
                </c:pt>
                <c:pt idx="687">
                  <c:v>0.99794764100506028</c:v>
                </c:pt>
                <c:pt idx="688">
                  <c:v>0.99801162414510569</c:v>
                </c:pt>
                <c:pt idx="689">
                  <c:v>0.99807379086781212</c:v>
                </c:pt>
                <c:pt idx="690">
                  <c:v>0.99813418669961596</c:v>
                </c:pt>
                <c:pt idx="691">
                  <c:v>0.99819285621919362</c:v>
                </c:pt>
                <c:pt idx="692">
                  <c:v>0.99824984307132392</c:v>
                </c:pt>
                <c:pt idx="693">
                  <c:v>0.99830518998072271</c:v>
                </c:pt>
                <c:pt idx="694">
                  <c:v>0.99835893876584303</c:v>
                </c:pt>
                <c:pt idx="695">
                  <c:v>0.99841113035263518</c:v>
                </c:pt>
                <c:pt idx="696">
                  <c:v>0.99846180478826196</c:v>
                </c:pt>
                <c:pt idx="697">
                  <c:v>0.99851100125476255</c:v>
                </c:pt>
                <c:pt idx="698">
                  <c:v>0.99855875808266004</c:v>
                </c:pt>
                <c:pt idx="699">
                  <c:v>0.99860511276450781</c:v>
                </c:pt>
                <c:pt idx="700">
                  <c:v>0.9986501019683699</c:v>
                </c:pt>
                <c:pt idx="701">
                  <c:v>0.99869376155123057</c:v>
                </c:pt>
                <c:pt idx="702">
                  <c:v>0.99873612657232769</c:v>
                </c:pt>
                <c:pt idx="703">
                  <c:v>0.99877723130640772</c:v>
                </c:pt>
                <c:pt idx="704">
                  <c:v>0.9988171092568956</c:v>
                </c:pt>
                <c:pt idx="705">
                  <c:v>0.99885579316897732</c:v>
                </c:pt>
                <c:pt idx="706">
                  <c:v>0.99889331504259071</c:v>
                </c:pt>
                <c:pt idx="707">
                  <c:v>0.99892970614532106</c:v>
                </c:pt>
                <c:pt idx="708">
                  <c:v>0.99896499702519714</c:v>
                </c:pt>
                <c:pt idx="709">
                  <c:v>0.99899921752338594</c:v>
                </c:pt>
                <c:pt idx="710">
                  <c:v>0.99903239678678168</c:v>
                </c:pt>
                <c:pt idx="711">
                  <c:v>0.99906456328048587</c:v>
                </c:pt>
                <c:pt idx="712">
                  <c:v>0.99909574480017771</c:v>
                </c:pt>
                <c:pt idx="713">
                  <c:v>0.99912596848436841</c:v>
                </c:pt>
                <c:pt idx="714">
                  <c:v>0.99915526082654138</c:v>
                </c:pt>
                <c:pt idx="715">
                  <c:v>0.99918364768717138</c:v>
                </c:pt>
                <c:pt idx="716">
                  <c:v>0.99921115430562446</c:v>
                </c:pt>
                <c:pt idx="717">
                  <c:v>0.99923780531193274</c:v>
                </c:pt>
                <c:pt idx="718">
                  <c:v>0.9992636247384461</c:v>
                </c:pt>
                <c:pt idx="719">
                  <c:v>0.99928863603135465</c:v>
                </c:pt>
                <c:pt idx="720">
                  <c:v>0.99931286206208414</c:v>
                </c:pt>
                <c:pt idx="721">
                  <c:v>0.99933632513856008</c:v>
                </c:pt>
                <c:pt idx="722">
                  <c:v>0.99935904701633993</c:v>
                </c:pt>
                <c:pt idx="723">
                  <c:v>0.99938104890961321</c:v>
                </c:pt>
                <c:pt idx="724">
                  <c:v>0.99940235150206558</c:v>
                </c:pt>
                <c:pt idx="725">
                  <c:v>0.99942297495760923</c:v>
                </c:pt>
                <c:pt idx="726">
                  <c:v>0.99944293893097536</c:v>
                </c:pt>
                <c:pt idx="727">
                  <c:v>0.99946226257817028</c:v>
                </c:pt>
                <c:pt idx="728">
                  <c:v>0.99948096456679303</c:v>
                </c:pt>
                <c:pt idx="729">
                  <c:v>0.99949906308621428</c:v>
                </c:pt>
                <c:pt idx="730">
                  <c:v>0.99951657585761622</c:v>
                </c:pt>
                <c:pt idx="731">
                  <c:v>0.99953352014389241</c:v>
                </c:pt>
                <c:pt idx="732">
                  <c:v>0.99954991275940785</c:v>
                </c:pt>
                <c:pt idx="733">
                  <c:v>0.99956577007961833</c:v>
                </c:pt>
                <c:pt idx="734">
                  <c:v>0.99958110805054967</c:v>
                </c:pt>
                <c:pt idx="735">
                  <c:v>0.99959594219813597</c:v>
                </c:pt>
                <c:pt idx="736">
                  <c:v>0.99961028763741799</c:v>
                </c:pt>
                <c:pt idx="737">
                  <c:v>0.99962415908159996</c:v>
                </c:pt>
                <c:pt idx="738">
                  <c:v>0.99963757085096694</c:v>
                </c:pt>
                <c:pt idx="739">
                  <c:v>0.99965053688166206</c:v>
                </c:pt>
                <c:pt idx="740">
                  <c:v>0.99966307073432314</c:v>
                </c:pt>
                <c:pt idx="741">
                  <c:v>0.99967518560258117</c:v>
                </c:pt>
                <c:pt idx="742">
                  <c:v>0.99968689432141877</c:v>
                </c:pt>
                <c:pt idx="743">
                  <c:v>0.99969820937539133</c:v>
                </c:pt>
                <c:pt idx="744">
                  <c:v>0.9997091429067092</c:v>
                </c:pt>
                <c:pt idx="745">
                  <c:v>0.99971970672318378</c:v>
                </c:pt>
                <c:pt idx="746">
                  <c:v>0.99972991230603647</c:v>
                </c:pt>
                <c:pt idx="747">
                  <c:v>0.99973977081757248</c:v>
                </c:pt>
                <c:pt idx="748">
                  <c:v>0.99974929310871952</c:v>
                </c:pt>
                <c:pt idx="749">
                  <c:v>0.99975848972643211</c:v>
                </c:pt>
                <c:pt idx="750">
                  <c:v>0.99976737092096446</c:v>
                </c:pt>
                <c:pt idx="751">
                  <c:v>0.99977594665300895</c:v>
                </c:pt>
                <c:pt idx="752">
                  <c:v>0.99978422660070532</c:v>
                </c:pt>
                <c:pt idx="753">
                  <c:v>0.99979222016651936</c:v>
                </c:pt>
                <c:pt idx="754">
                  <c:v>0.99979993648399268</c:v>
                </c:pt>
                <c:pt idx="755">
                  <c:v>0.99980738442436434</c:v>
                </c:pt>
                <c:pt idx="756">
                  <c:v>0.99981457260306672</c:v>
                </c:pt>
                <c:pt idx="757">
                  <c:v>0.99982150938609515</c:v>
                </c:pt>
                <c:pt idx="758">
                  <c:v>0.99982820289625407</c:v>
                </c:pt>
                <c:pt idx="759">
                  <c:v>0.99983466101927987</c:v>
                </c:pt>
                <c:pt idx="760">
                  <c:v>0.99984089140984245</c:v>
                </c:pt>
                <c:pt idx="761">
                  <c:v>0.99984690149742628</c:v>
                </c:pt>
                <c:pt idx="762">
                  <c:v>0.99985269849209257</c:v>
                </c:pt>
                <c:pt idx="763">
                  <c:v>0.99985828939012422</c:v>
                </c:pt>
                <c:pt idx="764">
                  <c:v>0.99986368097955425</c:v>
                </c:pt>
                <c:pt idx="765">
                  <c:v>0.99986887984557948</c:v>
                </c:pt>
                <c:pt idx="766">
                  <c:v>0.99987389237586155</c:v>
                </c:pt>
                <c:pt idx="767">
                  <c:v>0.9998787247657146</c:v>
                </c:pt>
                <c:pt idx="768">
                  <c:v>0.99988338302318458</c:v>
                </c:pt>
                <c:pt idx="769">
                  <c:v>0.99988787297401771</c:v>
                </c:pt>
                <c:pt idx="770">
                  <c:v>0.99989220026652259</c:v>
                </c:pt>
                <c:pt idx="771">
                  <c:v>0.99989637037632595</c:v>
                </c:pt>
                <c:pt idx="772">
                  <c:v>0.99990038861102404</c:v>
                </c:pt>
                <c:pt idx="773">
                  <c:v>0.9999042601147311</c:v>
                </c:pt>
                <c:pt idx="774">
                  <c:v>0.99990798987252594</c:v>
                </c:pt>
                <c:pt idx="775">
                  <c:v>0.99991158271479919</c:v>
                </c:pt>
                <c:pt idx="776">
                  <c:v>0.99991504332150205</c:v>
                </c:pt>
                <c:pt idx="777">
                  <c:v>0.99991837622629731</c:v>
                </c:pt>
                <c:pt idx="778">
                  <c:v>0.99992158582061641</c:v>
                </c:pt>
                <c:pt idx="779">
                  <c:v>0.99992467635762128</c:v>
                </c:pt>
                <c:pt idx="780">
                  <c:v>0.99992765195607491</c:v>
                </c:pt>
                <c:pt idx="781">
                  <c:v>0.99993051660412013</c:v>
                </c:pt>
                <c:pt idx="782">
                  <c:v>0.99993327416297029</c:v>
                </c:pt>
                <c:pt idx="783">
                  <c:v>0.99993592837051115</c:v>
                </c:pt>
                <c:pt idx="784">
                  <c:v>0.99993848284481679</c:v>
                </c:pt>
                <c:pt idx="785">
                  <c:v>0.99994094108758103</c:v>
                </c:pt>
                <c:pt idx="786">
                  <c:v>0.99994330648746577</c:v>
                </c:pt>
                <c:pt idx="787">
                  <c:v>0.99994558232336628</c:v>
                </c:pt>
                <c:pt idx="788">
                  <c:v>0.99994777176759819</c:v>
                </c:pt>
                <c:pt idx="789">
                  <c:v>0.9999498778890038</c:v>
                </c:pt>
                <c:pt idx="790">
                  <c:v>0.99995190365598241</c:v>
                </c:pt>
                <c:pt idx="791">
                  <c:v>0.99995385193944375</c:v>
                </c:pt>
                <c:pt idx="792">
                  <c:v>0.9999557255156879</c:v>
                </c:pt>
                <c:pt idx="793">
                  <c:v>0.99995752706921126</c:v>
                </c:pt>
                <c:pt idx="794">
                  <c:v>0.99995925919544149</c:v>
                </c:pt>
                <c:pt idx="795">
                  <c:v>0.99996092440340223</c:v>
                </c:pt>
                <c:pt idx="796">
                  <c:v>0.99996252511830896</c:v>
                </c:pt>
                <c:pt idx="797">
                  <c:v>0.99996406368409718</c:v>
                </c:pt>
                <c:pt idx="798">
                  <c:v>0.99996554236588497</c:v>
                </c:pt>
                <c:pt idx="799">
                  <c:v>0.99996696335237056</c:v>
                </c:pt>
                <c:pt idx="800">
                  <c:v>0.99996832875816688</c:v>
                </c:pt>
              </c:numCache>
            </c:numRef>
          </c:val>
          <c:smooth val="0"/>
          <c:extLst>
            <c:ext xmlns:c16="http://schemas.microsoft.com/office/drawing/2014/chart" uri="{C3380CC4-5D6E-409C-BE32-E72D297353CC}">
              <c16:uniqueId val="{00000000-E6B5-4A96-9908-C504B5E0FA29}"/>
            </c:ext>
          </c:extLst>
        </c:ser>
        <c:dLbls>
          <c:showLegendKey val="0"/>
          <c:showVal val="0"/>
          <c:showCatName val="0"/>
          <c:showSerName val="0"/>
          <c:showPercent val="0"/>
          <c:showBubbleSize val="0"/>
        </c:dLbls>
        <c:smooth val="0"/>
        <c:axId val="39627776"/>
        <c:axId val="39641856"/>
      </c:lineChart>
      <c:catAx>
        <c:axId val="39627776"/>
        <c:scaling>
          <c:orientation val="minMax"/>
        </c:scaling>
        <c:delete val="0"/>
        <c:axPos val="b"/>
        <c:majorTickMark val="out"/>
        <c:minorTickMark val="none"/>
        <c:tickLblPos val="nextTo"/>
        <c:crossAx val="39641856"/>
        <c:crosses val="autoZero"/>
        <c:auto val="1"/>
        <c:lblAlgn val="ctr"/>
        <c:lblOffset val="100"/>
        <c:noMultiLvlLbl val="0"/>
      </c:catAx>
      <c:valAx>
        <c:axId val="39641856"/>
        <c:scaling>
          <c:orientation val="minMax"/>
        </c:scaling>
        <c:delete val="0"/>
        <c:axPos val="l"/>
        <c:majorGridlines/>
        <c:numFmt formatCode="General" sourceLinked="1"/>
        <c:majorTickMark val="out"/>
        <c:minorTickMark val="none"/>
        <c:tickLblPos val="nextTo"/>
        <c:crossAx val="39627776"/>
        <c:crosses val="autoZero"/>
        <c:crossBetween val="between"/>
      </c:valAx>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'Z TABLOSUNUN HAZIRLANIŞI'!$F$2:$F$802</c:f>
              <c:numCache>
                <c:formatCode>0.00000000000000000000</c:formatCode>
                <c:ptCount val="801"/>
                <c:pt idx="0">
                  <c:v>1.3383022576488537E-4</c:v>
                </c:pt>
                <c:pt idx="1">
                  <c:v>1.3928497646575994E-4</c:v>
                </c:pt>
                <c:pt idx="2">
                  <c:v>1.4494756042389106E-4</c:v>
                </c:pt>
                <c:pt idx="3">
                  <c:v>1.508252715505178E-4</c:v>
                </c:pt>
                <c:pt idx="4">
                  <c:v>1.5692563406553226E-4</c:v>
                </c:pt>
                <c:pt idx="5">
                  <c:v>1.6325640876624199E-4</c:v>
                </c:pt>
                <c:pt idx="6">
                  <c:v>1.6982559942934359E-4</c:v>
                </c:pt>
                <c:pt idx="7">
                  <c:v>1.7664145934757092E-4</c:v>
                </c:pt>
                <c:pt idx="8">
                  <c:v>1.8371249800245711E-4</c:v>
                </c:pt>
                <c:pt idx="9">
                  <c:v>1.9104748787459762E-4</c:v>
                </c:pt>
                <c:pt idx="10">
                  <c:v>1.9865547139277272E-4</c:v>
                </c:pt>
                <c:pt idx="11">
                  <c:v>2.0654576802322548E-4</c:v>
                </c:pt>
                <c:pt idx="12">
                  <c:v>2.1472798150036704E-4</c:v>
                </c:pt>
                <c:pt idx="13">
                  <c:v>2.2321200720010206E-4</c:v>
                </c:pt>
                <c:pt idx="14">
                  <c:v>2.3200803965694238E-4</c:v>
                </c:pt>
                <c:pt idx="15">
                  <c:v>2.4112658022599324E-4</c:v>
                </c:pt>
                <c:pt idx="16">
                  <c:v>2.5057844489086075E-4</c:v>
                </c:pt>
                <c:pt idx="17">
                  <c:v>2.6037477221844247E-4</c:v>
                </c:pt>
                <c:pt idx="18">
                  <c:v>2.70527031461521E-4</c:v>
                </c:pt>
                <c:pt idx="19">
                  <c:v>2.8104703080998632E-4</c:v>
                </c:pt>
                <c:pt idx="20">
                  <c:v>2.9194692579146027E-4</c:v>
                </c:pt>
                <c:pt idx="21">
                  <c:v>3.0323922782200417E-4</c:v>
                </c:pt>
                <c:pt idx="22">
                  <c:v>3.1493681290750979E-4</c:v>
                </c:pt>
                <c:pt idx="23">
                  <c:v>3.2705293049637498E-4</c:v>
                </c:pt>
                <c:pt idx="24">
                  <c:v>3.3960121248364182E-4</c:v>
                </c:pt>
                <c:pt idx="25">
                  <c:v>3.5259568236744541E-4</c:v>
                </c:pt>
                <c:pt idx="26">
                  <c:v>3.6605076455732168E-4</c:v>
                </c:pt>
                <c:pt idx="27">
                  <c:v>3.7998129383530694E-4</c:v>
                </c:pt>
                <c:pt idx="28">
                  <c:v>3.9440252496914186E-4</c:v>
                </c:pt>
                <c:pt idx="29">
                  <c:v>4.0933014247806321E-4</c:v>
                </c:pt>
                <c:pt idx="30">
                  <c:v>4.2478027055073593E-4</c:v>
                </c:pt>
                <c:pt idx="31">
                  <c:v>4.4076948311511571E-4</c:v>
                </c:pt>
                <c:pt idx="32">
                  <c:v>4.5731481405984016E-4</c:v>
                </c:pt>
                <c:pt idx="33">
                  <c:v>4.7443376760660297E-4</c:v>
                </c:pt>
                <c:pt idx="34">
                  <c:v>4.9214432883287567E-4</c:v>
                </c:pt>
                <c:pt idx="35">
                  <c:v>5.1046497434416652E-4</c:v>
                </c:pt>
                <c:pt idx="36">
                  <c:v>5.2941468309491589E-4</c:v>
                </c:pt>
                <c:pt idx="37">
                  <c:v>5.4901294735693875E-4</c:v>
                </c:pt>
                <c:pt idx="38">
                  <c:v>5.6927978383423234E-4</c:v>
                </c:pt>
                <c:pt idx="39">
                  <c:v>5.9023574492276414E-4</c:v>
                </c:pt>
                <c:pt idx="40">
                  <c:v>6.1190193011375076E-4</c:v>
                </c:pt>
                <c:pt idx="41">
                  <c:v>6.3429999753873451E-4</c:v>
                </c:pt>
                <c:pt idx="42">
                  <c:v>6.5745217565465314E-4</c:v>
                </c:pt>
                <c:pt idx="43">
                  <c:v>6.8138127506686729E-4</c:v>
                </c:pt>
                <c:pt idx="44">
                  <c:v>7.061107004880117E-4</c:v>
                </c:pt>
                <c:pt idx="45">
                  <c:v>7.3166446283028422E-4</c:v>
                </c:pt>
                <c:pt idx="46">
                  <c:v>7.5806719142868396E-4</c:v>
                </c:pt>
                <c:pt idx="47">
                  <c:v>7.8534414639244135E-4</c:v>
                </c:pt>
                <c:pt idx="48">
                  <c:v>8.1352123108178022E-4</c:v>
                </c:pt>
                <c:pt idx="49">
                  <c:v>8.4262500470687275E-4</c:v>
                </c:pt>
                <c:pt idx="50">
                  <c:v>8.7268269504572915E-4</c:v>
                </c:pt>
                <c:pt idx="51">
                  <c:v>9.0372221127749315E-4</c:v>
                </c:pt>
                <c:pt idx="52">
                  <c:v>9.3577215692744649E-4</c:v>
                </c:pt>
                <c:pt idx="53">
                  <c:v>9.688618429198123E-4</c:v>
                </c:pt>
                <c:pt idx="54">
                  <c:v>1.0030213007342029E-3</c:v>
                </c:pt>
                <c:pt idx="55">
                  <c:v>1.0382812956613752E-3</c:v>
                </c:pt>
                <c:pt idx="56">
                  <c:v>1.0746733401536977E-3</c:v>
                </c:pt>
                <c:pt idx="57">
                  <c:v>1.1122297072655273E-3</c:v>
                </c:pt>
                <c:pt idx="58">
                  <c:v>1.1509834441784435E-3</c:v>
                </c:pt>
                <c:pt idx="59">
                  <c:v>1.1909683858060776E-3</c:v>
                </c:pt>
                <c:pt idx="60">
                  <c:v>1.2322191684729772E-3</c:v>
                </c:pt>
                <c:pt idx="61">
                  <c:v>1.2747712436617907E-3</c:v>
                </c:pt>
                <c:pt idx="62">
                  <c:v>1.3186608918226966E-3</c:v>
                </c:pt>
                <c:pt idx="63">
                  <c:v>1.3639252362388588E-3</c:v>
                </c:pt>
                <c:pt idx="64">
                  <c:v>1.410602256941336E-3</c:v>
                </c:pt>
                <c:pt idx="65">
                  <c:v>1.458730804666698E-3</c:v>
                </c:pt>
                <c:pt idx="66">
                  <c:v>1.5083506148502565E-3</c:v>
                </c:pt>
                <c:pt idx="67">
                  <c:v>1.5595023216476403E-3</c:v>
                </c:pt>
                <c:pt idx="68">
                  <c:v>1.61222747197707E-3</c:v>
                </c:pt>
                <c:pt idx="69">
                  <c:v>1.6665685395744704E-3</c:v>
                </c:pt>
                <c:pt idx="70">
                  <c:v>1.7225689390536229E-3</c:v>
                </c:pt>
                <c:pt idx="71">
                  <c:v>1.7802730399617613E-3</c:v>
                </c:pt>
                <c:pt idx="72">
                  <c:v>1.8397261808242187E-3</c:v>
                </c:pt>
                <c:pt idx="73">
                  <c:v>1.9009746831659554E-3</c:v>
                </c:pt>
                <c:pt idx="74">
                  <c:v>1.9640658655042447E-3</c:v>
                </c:pt>
                <c:pt idx="75">
                  <c:v>2.0290480572996363E-3</c:v>
                </c:pt>
                <c:pt idx="76">
                  <c:v>2.0959706128578057E-3</c:v>
                </c:pt>
                <c:pt idx="77">
                  <c:v>2.1648839251709219E-3</c:v>
                </c:pt>
                <c:pt idx="78">
                  <c:v>2.2358394396883954E-3</c:v>
                </c:pt>
                <c:pt idx="79">
                  <c:v>2.3088896680063479E-3</c:v>
                </c:pt>
                <c:pt idx="80">
                  <c:v>2.3840882014646877E-3</c:v>
                </c:pt>
                <c:pt idx="81">
                  <c:v>2.4614897246405432E-3</c:v>
                </c:pt>
                <c:pt idx="82">
                  <c:v>2.5411500287263588E-3</c:v>
                </c:pt>
                <c:pt idx="83">
                  <c:v>2.6231260247808592E-3</c:v>
                </c:pt>
                <c:pt idx="84">
                  <c:v>2.707475756840529E-3</c:v>
                </c:pt>
                <c:pt idx="85">
                  <c:v>2.7942584148792707E-3</c:v>
                </c:pt>
                <c:pt idx="86">
                  <c:v>2.8835343476032575E-3</c:v>
                </c:pt>
                <c:pt idx="87">
                  <c:v>2.9753650750680657E-3</c:v>
                </c:pt>
                <c:pt idx="88">
                  <c:v>3.0698133011045495E-3</c:v>
                </c:pt>
                <c:pt idx="89">
                  <c:v>3.1669429255398842E-3</c:v>
                </c:pt>
                <c:pt idx="90">
                  <c:v>3.2668190561997183E-3</c:v>
                </c:pt>
                <c:pt idx="91">
                  <c:v>3.3695080206772744E-3</c:v>
                </c:pt>
                <c:pt idx="92">
                  <c:v>3.4750773778547215E-3</c:v>
                </c:pt>
                <c:pt idx="93">
                  <c:v>3.5835959291621419E-3</c:v>
                </c:pt>
                <c:pt idx="94">
                  <c:v>3.6951337295588085E-3</c:v>
                </c:pt>
                <c:pt idx="95">
                  <c:v>3.8097620982215767E-3</c:v>
                </c:pt>
                <c:pt idx="96">
                  <c:v>3.9275536289245386E-3</c:v>
                </c:pt>
                <c:pt idx="97">
                  <c:v>4.0485822000941845E-3</c:v>
                </c:pt>
                <c:pt idx="98">
                  <c:v>4.1729229845237107E-3</c:v>
                </c:pt>
                <c:pt idx="99">
                  <c:v>4.3006524587301869E-3</c:v>
                </c:pt>
                <c:pt idx="100">
                  <c:v>4.4318484119377395E-3</c:v>
                </c:pt>
                <c:pt idx="101">
                  <c:v>4.5665899546698729E-3</c:v>
                </c:pt>
                <c:pt idx="102">
                  <c:v>4.7049575269336999E-3</c:v>
                </c:pt>
                <c:pt idx="103">
                  <c:v>4.8470329059786595E-3</c:v>
                </c:pt>
                <c:pt idx="104">
                  <c:v>4.9928992136120788E-3</c:v>
                </c:pt>
                <c:pt idx="105">
                  <c:v>5.1426409230536331E-3</c:v>
                </c:pt>
                <c:pt idx="106">
                  <c:v>5.2963438653107087E-3</c:v>
                </c:pt>
                <c:pt idx="107">
                  <c:v>5.4540952350562262E-3</c:v>
                </c:pt>
                <c:pt idx="108">
                  <c:v>5.6159835959906394E-3</c:v>
                </c:pt>
                <c:pt idx="109">
                  <c:v>5.7820988856691381E-3</c:v>
                </c:pt>
                <c:pt idx="110">
                  <c:v>5.9525324197755095E-3</c:v>
                </c:pt>
                <c:pt idx="111">
                  <c:v>6.1273768958233343E-3</c:v>
                </c:pt>
                <c:pt idx="112">
                  <c:v>6.3067263962655632E-3</c:v>
                </c:pt>
                <c:pt idx="113">
                  <c:v>6.4906763909929896E-3</c:v>
                </c:pt>
                <c:pt idx="114">
                  <c:v>6.6793237392022359E-3</c:v>
                </c:pt>
                <c:pt idx="115">
                  <c:v>6.8727666906135809E-3</c:v>
                </c:pt>
                <c:pt idx="116">
                  <c:v>7.0711048860190471E-3</c:v>
                </c:pt>
                <c:pt idx="117">
                  <c:v>7.2744393571408045E-3</c:v>
                </c:pt>
                <c:pt idx="118">
                  <c:v>7.4828725257799255E-3</c:v>
                </c:pt>
                <c:pt idx="119">
                  <c:v>7.6965082022366791E-3</c:v>
                </c:pt>
                <c:pt idx="120">
                  <c:v>7.9154515829792989E-3</c:v>
                </c:pt>
                <c:pt idx="121">
                  <c:v>8.1398092475453449E-3</c:v>
                </c:pt>
                <c:pt idx="122">
                  <c:v>8.3696891546523322E-3</c:v>
                </c:pt>
                <c:pt idx="123">
                  <c:v>8.6052006374989533E-3</c:v>
                </c:pt>
                <c:pt idx="124">
                  <c:v>8.8464543982364925E-3</c:v>
                </c:pt>
                <c:pt idx="125">
                  <c:v>9.0935625015902983E-3</c:v>
                </c:pt>
                <c:pt idx="126">
                  <c:v>9.3466383676115185E-3</c:v>
                </c:pt>
                <c:pt idx="127">
                  <c:v>9.6057967635387945E-3</c:v>
                </c:pt>
                <c:pt idx="128">
                  <c:v>9.8711537947503338E-3</c:v>
                </c:pt>
                <c:pt idx="129">
                  <c:v>1.0142826894786249E-2</c:v>
                </c:pt>
                <c:pt idx="130">
                  <c:v>1.0420934814421754E-2</c:v>
                </c:pt>
                <c:pt idx="131">
                  <c:v>1.0705597609771316E-2</c:v>
                </c:pt>
                <c:pt idx="132">
                  <c:v>1.0996936629404699E-2</c:v>
                </c:pt>
                <c:pt idx="133">
                  <c:v>1.1295074500455226E-2</c:v>
                </c:pt>
                <c:pt idx="134">
                  <c:v>1.1600135113701645E-2</c:v>
                </c:pt>
                <c:pt idx="135">
                  <c:v>1.1912243607604227E-2</c:v>
                </c:pt>
                <c:pt idx="136">
                  <c:v>1.2231526351277009E-2</c:v>
                </c:pt>
                <c:pt idx="137">
                  <c:v>1.2558110926377212E-2</c:v>
                </c:pt>
                <c:pt idx="138">
                  <c:v>1.2892126107894301E-2</c:v>
                </c:pt>
                <c:pt idx="139">
                  <c:v>1.3233701843820328E-2</c:v>
                </c:pt>
                <c:pt idx="140">
                  <c:v>1.3582969233684565E-2</c:v>
                </c:pt>
                <c:pt idx="141">
                  <c:v>1.3940060505934734E-2</c:v>
                </c:pt>
                <c:pt idx="142">
                  <c:v>1.4305108994148592E-2</c:v>
                </c:pt>
                <c:pt idx="143">
                  <c:v>1.4678249112058905E-2</c:v>
                </c:pt>
                <c:pt idx="144">
                  <c:v>1.5059616327376306E-2</c:v>
                </c:pt>
                <c:pt idx="145">
                  <c:v>1.5449347134393989E-2</c:v>
                </c:pt>
                <c:pt idx="146">
                  <c:v>1.5847579025359621E-2</c:v>
                </c:pt>
                <c:pt idx="147">
                  <c:v>1.6254450460599264E-2</c:v>
                </c:pt>
                <c:pt idx="148">
                  <c:v>1.6670100837379791E-2</c:v>
                </c:pt>
                <c:pt idx="149">
                  <c:v>1.7094670457495655E-2</c:v>
                </c:pt>
                <c:pt idx="150">
                  <c:v>1.7528300493567215E-2</c:v>
                </c:pt>
                <c:pt idx="151">
                  <c:v>1.7971132954038297E-2</c:v>
                </c:pt>
                <c:pt idx="152">
                  <c:v>1.8423310646860671E-2</c:v>
                </c:pt>
                <c:pt idx="153">
                  <c:v>1.8884977141854779E-2</c:v>
                </c:pt>
                <c:pt idx="154">
                  <c:v>1.9356276731735528E-2</c:v>
                </c:pt>
                <c:pt idx="155">
                  <c:v>1.9837354391793866E-2</c:v>
                </c:pt>
                <c:pt idx="156">
                  <c:v>2.0328355738224339E-2</c:v>
                </c:pt>
                <c:pt idx="157">
                  <c:v>2.0829426985090681E-2</c:v>
                </c:pt>
                <c:pt idx="158">
                  <c:v>2.1340714899921231E-2</c:v>
                </c:pt>
                <c:pt idx="159">
                  <c:v>2.1862366757927812E-2</c:v>
                </c:pt>
                <c:pt idx="160">
                  <c:v>2.2394530294841279E-2</c:v>
                </c:pt>
                <c:pt idx="161">
                  <c:v>2.2937353658359066E-2</c:v>
                </c:pt>
                <c:pt idx="162">
                  <c:v>2.3490985358199677E-2</c:v>
                </c:pt>
                <c:pt idx="163">
                  <c:v>2.4055574214761271E-2</c:v>
                </c:pt>
                <c:pt idx="164">
                  <c:v>2.4631269306380758E-2</c:v>
                </c:pt>
                <c:pt idx="165">
                  <c:v>2.5218219915192019E-2</c:v>
                </c:pt>
                <c:pt idx="166">
                  <c:v>2.5816575471585276E-2</c:v>
                </c:pt>
                <c:pt idx="167">
                  <c:v>2.6426485497259258E-2</c:v>
                </c:pt>
                <c:pt idx="168">
                  <c:v>2.7048099546879287E-2</c:v>
                </c:pt>
                <c:pt idx="169">
                  <c:v>2.7681567148334012E-2</c:v>
                </c:pt>
                <c:pt idx="170">
                  <c:v>2.8327037741598581E-2</c:v>
                </c:pt>
                <c:pt idx="171">
                  <c:v>2.8984660616206762E-2</c:v>
                </c:pt>
                <c:pt idx="172">
                  <c:v>2.9654584847338555E-2</c:v>
                </c:pt>
                <c:pt idx="173">
                  <c:v>3.0336959230528874E-2</c:v>
                </c:pt>
                <c:pt idx="174">
                  <c:v>3.1031932215005435E-2</c:v>
                </c:pt>
                <c:pt idx="175">
                  <c:v>3.1739651835664566E-2</c:v>
                </c:pt>
                <c:pt idx="176">
                  <c:v>3.246026564369453E-2</c:v>
                </c:pt>
                <c:pt idx="177">
                  <c:v>3.3193920635858153E-2</c:v>
                </c:pt>
                <c:pt idx="178">
                  <c:v>3.3940763182446168E-2</c:v>
                </c:pt>
                <c:pt idx="179">
                  <c:v>3.4700938953915753E-2</c:v>
                </c:pt>
                <c:pt idx="180">
                  <c:v>3.5474592846228309E-2</c:v>
                </c:pt>
                <c:pt idx="181">
                  <c:v>3.6261868904903051E-2</c:v>
                </c:pt>
                <c:pt idx="182">
                  <c:v>3.7062910247803241E-2</c:v>
                </c:pt>
                <c:pt idx="183">
                  <c:v>3.7877858986674201E-2</c:v>
                </c:pt>
                <c:pt idx="184">
                  <c:v>3.8706856147452257E-2</c:v>
                </c:pt>
                <c:pt idx="185">
                  <c:v>3.9550041589366813E-2</c:v>
                </c:pt>
                <c:pt idx="186">
                  <c:v>4.0407553922856845E-2</c:v>
                </c:pt>
                <c:pt idx="187">
                  <c:v>4.1279530426326899E-2</c:v>
                </c:pt>
                <c:pt idx="188">
                  <c:v>4.2166106961766738E-2</c:v>
                </c:pt>
                <c:pt idx="189">
                  <c:v>4.3067417889262105E-2</c:v>
                </c:pt>
                <c:pt idx="190">
                  <c:v>4.39835959804235E-2</c:v>
                </c:pt>
                <c:pt idx="191">
                  <c:v>4.4914772330763353E-2</c:v>
                </c:pt>
                <c:pt idx="192">
                  <c:v>4.5861076271051078E-2</c:v>
                </c:pt>
                <c:pt idx="193">
                  <c:v>4.6822635277679298E-2</c:v>
                </c:pt>
                <c:pt idx="194">
                  <c:v>4.7799574882073086E-2</c:v>
                </c:pt>
                <c:pt idx="195">
                  <c:v>4.8792018579178781E-2</c:v>
                </c:pt>
                <c:pt idx="196">
                  <c:v>4.9800087735066702E-2</c:v>
                </c:pt>
                <c:pt idx="197">
                  <c:v>5.0823901493687033E-2</c:v>
                </c:pt>
                <c:pt idx="198">
                  <c:v>5.1863576682816367E-2</c:v>
                </c:pt>
                <c:pt idx="199">
                  <c:v>5.291922771923601E-2</c:v>
                </c:pt>
                <c:pt idx="200">
                  <c:v>5.399096651318374E-2</c:v>
                </c:pt>
                <c:pt idx="201">
                  <c:v>5.5078902372121388E-2</c:v>
                </c:pt>
                <c:pt idx="202">
                  <c:v>5.6183141903863587E-2</c:v>
                </c:pt>
                <c:pt idx="203">
                  <c:v>5.7303788919112628E-2</c:v>
                </c:pt>
                <c:pt idx="204">
                  <c:v>5.844094433344689E-2</c:v>
                </c:pt>
                <c:pt idx="205">
                  <c:v>5.9594706068811433E-2</c:v>
                </c:pt>
                <c:pt idx="206">
                  <c:v>6.0765168954560071E-2</c:v>
                </c:pt>
                <c:pt idx="207">
                  <c:v>6.195242462810039E-2</c:v>
                </c:pt>
                <c:pt idx="208">
                  <c:v>6.3156561435193811E-2</c:v>
                </c:pt>
                <c:pt idx="209">
                  <c:v>6.4377664329964418E-2</c:v>
                </c:pt>
                <c:pt idx="210">
                  <c:v>6.5615814774671599E-2</c:v>
                </c:pt>
                <c:pt idx="211">
                  <c:v>6.6871090639302078E-2</c:v>
                </c:pt>
                <c:pt idx="212">
                  <c:v>6.8143566101038153E-2</c:v>
                </c:pt>
                <c:pt idx="213">
                  <c:v>6.9433311543667706E-2</c:v>
                </c:pt>
                <c:pt idx="214">
                  <c:v>7.0740393456976802E-2</c:v>
                </c:pt>
                <c:pt idx="215">
                  <c:v>7.2064874336211338E-2</c:v>
                </c:pt>
                <c:pt idx="216">
                  <c:v>7.3406812581650133E-2</c:v>
                </c:pt>
                <c:pt idx="217">
                  <c:v>7.4766262398360775E-2</c:v>
                </c:pt>
                <c:pt idx="218">
                  <c:v>7.6143273696200386E-2</c:v>
                </c:pt>
                <c:pt idx="219">
                  <c:v>7.7537891990126964E-2</c:v>
                </c:pt>
                <c:pt idx="220">
                  <c:v>7.8950158300887058E-2</c:v>
                </c:pt>
                <c:pt idx="221">
                  <c:v>8.0380109056146967E-2</c:v>
                </c:pt>
                <c:pt idx="222">
                  <c:v>8.1827775992135532E-2</c:v>
                </c:pt>
                <c:pt idx="223">
                  <c:v>8.3293186055867094E-2</c:v>
                </c:pt>
                <c:pt idx="224">
                  <c:v>8.4776361308014775E-2</c:v>
                </c:pt>
                <c:pt idx="225">
                  <c:v>8.6277318826503968E-2</c:v>
                </c:pt>
                <c:pt idx="226">
                  <c:v>8.7796070610898003E-2</c:v>
                </c:pt>
                <c:pt idx="227">
                  <c:v>8.933262348764727E-2</c:v>
                </c:pt>
                <c:pt idx="228">
                  <c:v>9.0886979016275071E-2</c:v>
                </c:pt>
                <c:pt idx="229">
                  <c:v>9.2459133396572774E-2</c:v>
                </c:pt>
                <c:pt idx="230">
                  <c:v>9.404907737687894E-2</c:v>
                </c:pt>
                <c:pt idx="231">
                  <c:v>9.5656796163515925E-2</c:v>
                </c:pt>
                <c:pt idx="232">
                  <c:v>9.7282269331459351E-2</c:v>
                </c:pt>
                <c:pt idx="233">
                  <c:v>9.8925470736315441E-2</c:v>
                </c:pt>
                <c:pt idx="234">
                  <c:v>0.1005863684276822</c:v>
                </c:pt>
                <c:pt idx="235">
                  <c:v>0.10226492456396954</c:v>
                </c:pt>
                <c:pt idx="236">
                  <c:v>0.10396109532875566</c:v>
                </c:pt>
                <c:pt idx="237">
                  <c:v>0.10567483084875499</c:v>
                </c:pt>
                <c:pt idx="238">
                  <c:v>0.10740607511347511</c:v>
                </c:pt>
                <c:pt idx="239">
                  <c:v>0.10915476589663858</c:v>
                </c:pt>
                <c:pt idx="240">
                  <c:v>0.11092083467944666</c:v>
                </c:pt>
                <c:pt idx="241">
                  <c:v>0.11270420657576159</c:v>
                </c:pt>
                <c:pt idx="242">
                  <c:v>0.11450480025928333</c:v>
                </c:pt>
                <c:pt idx="243">
                  <c:v>0.11632252789279797</c:v>
                </c:pt>
                <c:pt idx="244">
                  <c:v>0.11815729505957306</c:v>
                </c:pt>
                <c:pt idx="245">
                  <c:v>0.1200090006969763</c:v>
                </c:pt>
                <c:pt idx="246">
                  <c:v>0.12187753703239239</c:v>
                </c:pt>
                <c:pt idx="247">
                  <c:v>0.12376278952151368</c:v>
                </c:pt>
                <c:pt idx="248">
                  <c:v>0.1256646367890786</c:v>
                </c:pt>
                <c:pt idx="249">
                  <c:v>0.12758295057213223</c:v>
                </c:pt>
                <c:pt idx="250">
                  <c:v>0.12951759566588203</c:v>
                </c:pt>
                <c:pt idx="251">
                  <c:v>0.13146842987222127</c:v>
                </c:pt>
                <c:pt idx="252">
                  <c:v>0.13343530395099243</c:v>
                </c:pt>
                <c:pt idx="253">
                  <c:v>0.13541806157406133</c:v>
                </c:pt>
                <c:pt idx="254">
                  <c:v>0.13741653928227174</c:v>
                </c:pt>
                <c:pt idx="255">
                  <c:v>0.13943056644535018</c:v>
                </c:pt>
                <c:pt idx="256">
                  <c:v>0.14145996522482862</c:v>
                </c:pt>
                <c:pt idx="257">
                  <c:v>0.14350455054005218</c:v>
                </c:pt>
                <c:pt idx="258">
                  <c:v>0.14556413003733723</c:v>
                </c:pt>
                <c:pt idx="259">
                  <c:v>0.14763850406234322</c:v>
                </c:pt>
                <c:pt idx="260">
                  <c:v>0.14972746563573228</c:v>
                </c:pt>
                <c:pt idx="261">
                  <c:v>0.151830800432149</c:v>
                </c:pt>
                <c:pt idx="262">
                  <c:v>0.15394828676262096</c:v>
                </c:pt>
                <c:pt idx="263">
                  <c:v>0.15607969556040802</c:v>
                </c:pt>
                <c:pt idx="264">
                  <c:v>0.15822479037037013</c:v>
                </c:pt>
                <c:pt idx="265">
                  <c:v>0.16038332734190658</c:v>
                </c:pt>
                <c:pt idx="266">
                  <c:v>0.16255505522552108</c:v>
                </c:pt>
                <c:pt idx="267">
                  <c:v>0.16473971537306367</c:v>
                </c:pt>
                <c:pt idx="268">
                  <c:v>0.1669370417417006</c:v>
                </c:pt>
                <c:pt idx="269">
                  <c:v>0.16914676090165912</c:v>
                </c:pt>
                <c:pt idx="270">
                  <c:v>0.17136859204779401</c:v>
                </c:pt>
                <c:pt idx="271">
                  <c:v>0.17360224701501956</c:v>
                </c:pt>
                <c:pt idx="272">
                  <c:v>0.17584743029764888</c:v>
                </c:pt>
                <c:pt idx="273">
                  <c:v>0.17810383907268001</c:v>
                </c:pt>
                <c:pt idx="274">
                  <c:v>0.1803711632270667</c:v>
                </c:pt>
                <c:pt idx="275">
                  <c:v>0.18264908538900823</c:v>
                </c:pt>
                <c:pt idx="276">
                  <c:v>0.18493728096329157</c:v>
                </c:pt>
                <c:pt idx="277">
                  <c:v>0.18723541817071573</c:v>
                </c:pt>
                <c:pt idx="278">
                  <c:v>0.18954315809162636</c:v>
                </c:pt>
                <c:pt idx="279">
                  <c:v>0.19186015471358545</c:v>
                </c:pt>
                <c:pt idx="280">
                  <c:v>0.19418605498319899</c:v>
                </c:pt>
                <c:pt idx="281">
                  <c:v>0.19652049886212253</c:v>
                </c:pt>
                <c:pt idx="282">
                  <c:v>0.19886311938726184</c:v>
                </c:pt>
                <c:pt idx="283">
                  <c:v>0.20121354273518324</c:v>
                </c:pt>
                <c:pt idx="284">
                  <c:v>0.20357138829074525</c:v>
                </c:pt>
                <c:pt idx="285">
                  <c:v>0.20593626871996051</c:v>
                </c:pt>
                <c:pt idx="286">
                  <c:v>0.2083077900470941</c:v>
                </c:pt>
                <c:pt idx="287">
                  <c:v>0.21068555173600098</c:v>
                </c:pt>
                <c:pt idx="288">
                  <c:v>0.21306914677570354</c:v>
                </c:pt>
                <c:pt idx="289">
                  <c:v>0.21545816177020538</c:v>
                </c:pt>
                <c:pt idx="290">
                  <c:v>0.21785217703253615</c:v>
                </c:pt>
                <c:pt idx="291">
                  <c:v>0.22025076668301888</c:v>
                </c:pt>
                <c:pt idx="292">
                  <c:v>0.2226534987517467</c:v>
                </c:pt>
                <c:pt idx="293">
                  <c:v>0.22505993528525522</c:v>
                </c:pt>
                <c:pt idx="294">
                  <c:v>0.22746963245737142</c:v>
                </c:pt>
                <c:pt idx="295">
                  <c:v>0.22988214068421856</c:v>
                </c:pt>
                <c:pt idx="296">
                  <c:v>0.23229700474335171</c:v>
                </c:pt>
                <c:pt idx="297">
                  <c:v>0.2347137638969973</c:v>
                </c:pt>
                <c:pt idx="298">
                  <c:v>0.23713195201936507</c:v>
                </c:pt>
                <c:pt idx="299">
                  <c:v>0.23955109772799887</c:v>
                </c:pt>
                <c:pt idx="300">
                  <c:v>0.24197072451912885</c:v>
                </c:pt>
                <c:pt idx="301">
                  <c:v>0.24439035090698505</c:v>
                </c:pt>
                <c:pt idx="302">
                  <c:v>0.24680949056702819</c:v>
                </c:pt>
                <c:pt idx="303">
                  <c:v>0.24922765248305143</c:v>
                </c:pt>
                <c:pt idx="304">
                  <c:v>0.25164434109810263</c:v>
                </c:pt>
                <c:pt idx="305">
                  <c:v>0.25405905646917454</c:v>
                </c:pt>
                <c:pt idx="306">
                  <c:v>0.2564712944256059</c:v>
                </c:pt>
                <c:pt idx="307">
                  <c:v>0.25888054673113442</c:v>
                </c:pt>
                <c:pt idx="308">
                  <c:v>0.26128630124953872</c:v>
                </c:pt>
                <c:pt idx="309">
                  <c:v>0.26368804211380376</c:v>
                </c:pt>
                <c:pt idx="310">
                  <c:v>0.26608524989874049</c:v>
                </c:pt>
                <c:pt idx="311">
                  <c:v>0.26847740179698804</c:v>
                </c:pt>
                <c:pt idx="312">
                  <c:v>0.27086397179832372</c:v>
                </c:pt>
                <c:pt idx="313">
                  <c:v>0.27324443087220202</c:v>
                </c:pt>
                <c:pt idx="314">
                  <c:v>0.27561824715344246</c:v>
                </c:pt>
                <c:pt idx="315">
                  <c:v>0.27798488613098227</c:v>
                </c:pt>
                <c:pt idx="316">
                  <c:v>0.28034381083960641</c:v>
                </c:pt>
                <c:pt idx="317">
                  <c:v>0.28269448205456615</c:v>
                </c:pt>
                <c:pt idx="318">
                  <c:v>0.28503635848899322</c:v>
                </c:pt>
                <c:pt idx="319">
                  <c:v>0.28736889699401436</c:v>
                </c:pt>
                <c:pt idx="320">
                  <c:v>0.28969155276146885</c:v>
                </c:pt>
                <c:pt idx="321">
                  <c:v>0.29200377952912759</c:v>
                </c:pt>
                <c:pt idx="322">
                  <c:v>0.29430502978831136</c:v>
                </c:pt>
                <c:pt idx="323">
                  <c:v>0.29659475499380206</c:v>
                </c:pt>
                <c:pt idx="324">
                  <c:v>0.29887240577593915</c:v>
                </c:pt>
                <c:pt idx="325">
                  <c:v>0.30113743215479088</c:v>
                </c:pt>
                <c:pt idx="326">
                  <c:v>0.30338928375628665</c:v>
                </c:pt>
                <c:pt idx="327">
                  <c:v>0.30562741003019656</c:v>
                </c:pt>
                <c:pt idx="328">
                  <c:v>0.30785126046983963</c:v>
                </c:pt>
                <c:pt idx="329">
                  <c:v>0.31006028483340292</c:v>
                </c:pt>
                <c:pt idx="330">
                  <c:v>0.31225393336674817</c:v>
                </c:pt>
                <c:pt idx="331">
                  <c:v>0.3144316570275843</c:v>
                </c:pt>
                <c:pt idx="332">
                  <c:v>0.31659290771087989</c:v>
                </c:pt>
                <c:pt idx="333">
                  <c:v>0.3187371384753887</c:v>
                </c:pt>
                <c:pt idx="334">
                  <c:v>0.32086380377115981</c:v>
                </c:pt>
                <c:pt idx="335">
                  <c:v>0.32297235966790172</c:v>
                </c:pt>
                <c:pt idx="336">
                  <c:v>0.32506226408406969</c:v>
                </c:pt>
                <c:pt idx="337">
                  <c:v>0.32713297701654215</c:v>
                </c:pt>
                <c:pt idx="338">
                  <c:v>0.32918396077075257</c:v>
                </c:pt>
                <c:pt idx="339">
                  <c:v>0.33121468019114081</c:v>
                </c:pt>
                <c:pt idx="340">
                  <c:v>0.33322460289178762</c:v>
                </c:pt>
                <c:pt idx="341">
                  <c:v>0.33521319948709422</c:v>
                </c:pt>
                <c:pt idx="342">
                  <c:v>0.33717994382236882</c:v>
                </c:pt>
                <c:pt idx="343">
                  <c:v>0.33912431320418063</c:v>
                </c:pt>
                <c:pt idx="344">
                  <c:v>0.34104578863034107</c:v>
                </c:pt>
                <c:pt idx="345">
                  <c:v>0.34294385501937258</c:v>
                </c:pt>
                <c:pt idx="346">
                  <c:v>0.34481800143932217</c:v>
                </c:pt>
                <c:pt idx="347">
                  <c:v>0.34666772133578061</c:v>
                </c:pt>
                <c:pt idx="348">
                  <c:v>0.34849251275896381</c:v>
                </c:pt>
                <c:pt idx="349">
                  <c:v>0.35029187858971528</c:v>
                </c:pt>
                <c:pt idx="350">
                  <c:v>0.35206532676428909</c:v>
                </c:pt>
                <c:pt idx="351">
                  <c:v>0.35381237049776948</c:v>
                </c:pt>
                <c:pt idx="352">
                  <c:v>0.35553252850598704</c:v>
                </c:pt>
                <c:pt idx="353">
                  <c:v>0.35722532522579092</c:v>
                </c:pt>
                <c:pt idx="354">
                  <c:v>0.35889029103353487</c:v>
                </c:pt>
                <c:pt idx="355">
                  <c:v>0.3605269624616384</c:v>
                </c:pt>
                <c:pt idx="356">
                  <c:v>0.36213488241308284</c:v>
                </c:pt>
                <c:pt idx="357">
                  <c:v>0.3637136003737042</c:v>
                </c:pt>
                <c:pt idx="358">
                  <c:v>0.36526267262214485</c:v>
                </c:pt>
                <c:pt idx="359">
                  <c:v>0.36678166243732724</c:v>
                </c:pt>
                <c:pt idx="360">
                  <c:v>0.36827014030331462</c:v>
                </c:pt>
                <c:pt idx="361">
                  <c:v>0.36972768411142387</c:v>
                </c:pt>
                <c:pt idx="362">
                  <c:v>0.37115387935945771</c:v>
                </c:pt>
                <c:pt idx="363">
                  <c:v>0.37254831934792532</c:v>
                </c:pt>
                <c:pt idx="364">
                  <c:v>0.37391060537312043</c:v>
                </c:pt>
                <c:pt idx="365">
                  <c:v>0.37524034691693015</c:v>
                </c:pt>
                <c:pt idx="366">
                  <c:v>0.37653716183324643</c:v>
                </c:pt>
                <c:pt idx="367">
                  <c:v>0.37780067653085725</c:v>
                </c:pt>
                <c:pt idx="368">
                  <c:v>0.37903052615269456</c:v>
                </c:pt>
                <c:pt idx="369">
                  <c:v>0.38022635475131794</c:v>
                </c:pt>
                <c:pt idx="370">
                  <c:v>0.38138781546051737</c:v>
                </c:pt>
                <c:pt idx="371">
                  <c:v>0.3825145706629175</c:v>
                </c:pt>
                <c:pt idx="372">
                  <c:v>0.38360629215347219</c:v>
                </c:pt>
                <c:pt idx="373">
                  <c:v>0.38466266129873666</c:v>
                </c:pt>
                <c:pt idx="374">
                  <c:v>0.38568336919181018</c:v>
                </c:pt>
                <c:pt idx="375">
                  <c:v>0.38666811680284352</c:v>
                </c:pt>
                <c:pt idx="376">
                  <c:v>0.38761661512500867</c:v>
                </c:pt>
                <c:pt idx="377">
                  <c:v>0.38852858531583062</c:v>
                </c:pt>
                <c:pt idx="378">
                  <c:v>0.38940375883378536</c:v>
                </c:pt>
                <c:pt idx="379">
                  <c:v>0.39024187757006945</c:v>
                </c:pt>
                <c:pt idx="380">
                  <c:v>0.39104269397545127</c:v>
                </c:pt>
                <c:pt idx="381">
                  <c:v>0.39180597118211674</c:v>
                </c:pt>
                <c:pt idx="382">
                  <c:v>0.39253148312042474</c:v>
                </c:pt>
                <c:pt idx="383">
                  <c:v>0.39321901463049325</c:v>
                </c:pt>
                <c:pt idx="384">
                  <c:v>0.39386836156853711</c:v>
                </c:pt>
                <c:pt idx="385">
                  <c:v>0.39447933090788545</c:v>
                </c:pt>
                <c:pt idx="386">
                  <c:v>0.39505174083460798</c:v>
                </c:pt>
                <c:pt idx="387">
                  <c:v>0.39558542083768439</c:v>
                </c:pt>
                <c:pt idx="388">
                  <c:v>0.39608021179365327</c:v>
                </c:pt>
                <c:pt idx="389">
                  <c:v>0.3965359660456832</c:v>
                </c:pt>
                <c:pt idx="390">
                  <c:v>0.39695254747700942</c:v>
                </c:pt>
                <c:pt idx="391">
                  <c:v>0.39732983157868623</c:v>
                </c:pt>
                <c:pt idx="392">
                  <c:v>0.39766770551160702</c:v>
                </c:pt>
                <c:pt idx="393">
                  <c:v>0.39796606816274938</c:v>
                </c:pt>
                <c:pt idx="394">
                  <c:v>0.39822483019560551</c:v>
                </c:pt>
                <c:pt idx="395">
                  <c:v>0.39844391409476287</c:v>
                </c:pt>
                <c:pt idx="396">
                  <c:v>0.39862325420460409</c:v>
                </c:pt>
                <c:pt idx="397">
                  <c:v>0.39876279676209903</c:v>
                </c:pt>
                <c:pt idx="398">
                  <c:v>0.39886249992366563</c:v>
                </c:pt>
                <c:pt idx="399">
                  <c:v>0.39892233378608194</c:v>
                </c:pt>
                <c:pt idx="400">
                  <c:v>0.3989422804014327</c:v>
                </c:pt>
                <c:pt idx="401">
                  <c:v>0.39892233378608216</c:v>
                </c:pt>
                <c:pt idx="402">
                  <c:v>0.39886249992366613</c:v>
                </c:pt>
                <c:pt idx="403">
                  <c:v>0.39876279676209969</c:v>
                </c:pt>
                <c:pt idx="404">
                  <c:v>0.39862325420460504</c:v>
                </c:pt>
                <c:pt idx="405">
                  <c:v>0.39844391409476404</c:v>
                </c:pt>
                <c:pt idx="406">
                  <c:v>0.39822483019560695</c:v>
                </c:pt>
                <c:pt idx="407">
                  <c:v>0.39796606816275104</c:v>
                </c:pt>
                <c:pt idx="408">
                  <c:v>0.39766770551160885</c:v>
                </c:pt>
                <c:pt idx="409">
                  <c:v>0.39732983157868834</c:v>
                </c:pt>
                <c:pt idx="410">
                  <c:v>0.39695254747701181</c:v>
                </c:pt>
                <c:pt idx="411">
                  <c:v>0.39653596604568575</c:v>
                </c:pt>
                <c:pt idx="412">
                  <c:v>0.3960802117936561</c:v>
                </c:pt>
                <c:pt idx="413">
                  <c:v>0.39558542083768738</c:v>
                </c:pt>
                <c:pt idx="414">
                  <c:v>0.39505174083461125</c:v>
                </c:pt>
                <c:pt idx="415">
                  <c:v>0.39447933090788895</c:v>
                </c:pt>
                <c:pt idx="416">
                  <c:v>0.39386836156854083</c:v>
                </c:pt>
                <c:pt idx="417">
                  <c:v>0.39321901463049719</c:v>
                </c:pt>
                <c:pt idx="418">
                  <c:v>0.3925314831204289</c:v>
                </c:pt>
                <c:pt idx="419">
                  <c:v>0.39180597118212113</c:v>
                </c:pt>
                <c:pt idx="420">
                  <c:v>0.39104269397545588</c:v>
                </c:pt>
                <c:pt idx="421">
                  <c:v>0.39024187757007428</c:v>
                </c:pt>
                <c:pt idx="422">
                  <c:v>0.38940375883379041</c:v>
                </c:pt>
                <c:pt idx="423">
                  <c:v>0.38852858531583589</c:v>
                </c:pt>
                <c:pt idx="424">
                  <c:v>0.38761661512501416</c:v>
                </c:pt>
                <c:pt idx="425">
                  <c:v>0.38666811680284924</c:v>
                </c:pt>
                <c:pt idx="426">
                  <c:v>0.38568336919181612</c:v>
                </c:pt>
                <c:pt idx="427">
                  <c:v>0.38466266129874283</c:v>
                </c:pt>
                <c:pt idx="428">
                  <c:v>0.38360629215347858</c:v>
                </c:pt>
                <c:pt idx="429">
                  <c:v>0.38251457066292405</c:v>
                </c:pt>
                <c:pt idx="430">
                  <c:v>0.38138781546052414</c:v>
                </c:pt>
                <c:pt idx="431">
                  <c:v>0.38022635475132494</c:v>
                </c:pt>
                <c:pt idx="432">
                  <c:v>0.37903052615270166</c:v>
                </c:pt>
                <c:pt idx="433">
                  <c:v>0.37780067653086458</c:v>
                </c:pt>
                <c:pt idx="434">
                  <c:v>0.37653716183325392</c:v>
                </c:pt>
                <c:pt idx="435">
                  <c:v>0.37524034691693792</c:v>
                </c:pt>
                <c:pt idx="436">
                  <c:v>0.37391060537312842</c:v>
                </c:pt>
                <c:pt idx="437">
                  <c:v>0.37254831934793342</c:v>
                </c:pt>
                <c:pt idx="438">
                  <c:v>0.37115387935946603</c:v>
                </c:pt>
                <c:pt idx="439">
                  <c:v>0.36972768411143236</c:v>
                </c:pt>
                <c:pt idx="440">
                  <c:v>0.36827014030332333</c:v>
                </c:pt>
                <c:pt idx="441">
                  <c:v>0.36678166243733612</c:v>
                </c:pt>
                <c:pt idx="442">
                  <c:v>0.36526267262215389</c:v>
                </c:pt>
                <c:pt idx="443">
                  <c:v>0.36371360037371342</c:v>
                </c:pt>
                <c:pt idx="444">
                  <c:v>0.36213488241309222</c:v>
                </c:pt>
                <c:pt idx="445">
                  <c:v>0.36052696246164795</c:v>
                </c:pt>
                <c:pt idx="446">
                  <c:v>0.35889029103354464</c:v>
                </c:pt>
                <c:pt idx="447">
                  <c:v>0.35722532522580086</c:v>
                </c:pt>
                <c:pt idx="448">
                  <c:v>0.35553252850599709</c:v>
                </c:pt>
                <c:pt idx="449">
                  <c:v>0.35381237049777969</c:v>
                </c:pt>
                <c:pt idx="450">
                  <c:v>0.35206532676429952</c:v>
                </c:pt>
                <c:pt idx="451">
                  <c:v>0.35029187858972582</c:v>
                </c:pt>
                <c:pt idx="452">
                  <c:v>0.34849251275897447</c:v>
                </c:pt>
                <c:pt idx="453">
                  <c:v>0.34666772133579166</c:v>
                </c:pt>
                <c:pt idx="454">
                  <c:v>0.34481800143933333</c:v>
                </c:pt>
                <c:pt idx="455">
                  <c:v>0.3429438550193839</c:v>
                </c:pt>
                <c:pt idx="456">
                  <c:v>0.34104578863035256</c:v>
                </c:pt>
                <c:pt idx="457">
                  <c:v>0.33912431320419223</c:v>
                </c:pt>
                <c:pt idx="458">
                  <c:v>0.33717994382238059</c:v>
                </c:pt>
                <c:pt idx="459">
                  <c:v>0.33521319948710609</c:v>
                </c:pt>
                <c:pt idx="460">
                  <c:v>0.33322460289179967</c:v>
                </c:pt>
                <c:pt idx="461">
                  <c:v>0.33121468019115297</c:v>
                </c:pt>
                <c:pt idx="462">
                  <c:v>0.32918396077076478</c:v>
                </c:pt>
                <c:pt idx="463">
                  <c:v>0.32713297701655447</c:v>
                </c:pt>
                <c:pt idx="464">
                  <c:v>0.32506226408408218</c:v>
                </c:pt>
                <c:pt idx="465">
                  <c:v>0.32297235966791427</c:v>
                </c:pt>
                <c:pt idx="466">
                  <c:v>0.32086380377117252</c:v>
                </c:pt>
                <c:pt idx="467">
                  <c:v>0.31873713847540153</c:v>
                </c:pt>
                <c:pt idx="468">
                  <c:v>0.31659290771089277</c:v>
                </c:pt>
                <c:pt idx="469">
                  <c:v>0.31443165702759734</c:v>
                </c:pt>
                <c:pt idx="470">
                  <c:v>0.31225393336676127</c:v>
                </c:pt>
                <c:pt idx="471">
                  <c:v>0.31006028483341613</c:v>
                </c:pt>
                <c:pt idx="472">
                  <c:v>0.30785126046985295</c:v>
                </c:pt>
                <c:pt idx="473">
                  <c:v>0.30562741003020988</c:v>
                </c:pt>
                <c:pt idx="474">
                  <c:v>0.30338928375630014</c:v>
                </c:pt>
                <c:pt idx="475">
                  <c:v>0.30113743215480443</c:v>
                </c:pt>
                <c:pt idx="476">
                  <c:v>0.29887240577595275</c:v>
                </c:pt>
                <c:pt idx="477">
                  <c:v>0.29659475499381571</c:v>
                </c:pt>
                <c:pt idx="478">
                  <c:v>0.29430502978832512</c:v>
                </c:pt>
                <c:pt idx="479">
                  <c:v>0.29200377952914142</c:v>
                </c:pt>
                <c:pt idx="480">
                  <c:v>0.28969155276148273</c:v>
                </c:pt>
                <c:pt idx="481">
                  <c:v>0.28736889699402829</c:v>
                </c:pt>
                <c:pt idx="482">
                  <c:v>0.28503635848900727</c:v>
                </c:pt>
                <c:pt idx="483">
                  <c:v>0.28269448205458025</c:v>
                </c:pt>
                <c:pt idx="484">
                  <c:v>0.28034381083962062</c:v>
                </c:pt>
                <c:pt idx="485">
                  <c:v>0.27798488613099648</c:v>
                </c:pt>
                <c:pt idx="486">
                  <c:v>0.27561824715345667</c:v>
                </c:pt>
                <c:pt idx="487">
                  <c:v>0.27324443087221623</c:v>
                </c:pt>
                <c:pt idx="488">
                  <c:v>0.27086397179833799</c:v>
                </c:pt>
                <c:pt idx="489">
                  <c:v>0.26847740179700241</c:v>
                </c:pt>
                <c:pt idx="490">
                  <c:v>0.26608524989875482</c:v>
                </c:pt>
                <c:pt idx="491">
                  <c:v>0.26368804211381813</c:v>
                </c:pt>
                <c:pt idx="492">
                  <c:v>0.26128630124955315</c:v>
                </c:pt>
                <c:pt idx="493">
                  <c:v>0.2588805467311488</c:v>
                </c:pt>
                <c:pt idx="494">
                  <c:v>0.25647129442562033</c:v>
                </c:pt>
                <c:pt idx="495">
                  <c:v>0.25405905646918903</c:v>
                </c:pt>
                <c:pt idx="496">
                  <c:v>0.25164434109811712</c:v>
                </c:pt>
                <c:pt idx="497">
                  <c:v>0.24922765248306594</c:v>
                </c:pt>
                <c:pt idx="498">
                  <c:v>0.24680949056704274</c:v>
                </c:pt>
                <c:pt idx="499">
                  <c:v>0.24439035090699956</c:v>
                </c:pt>
                <c:pt idx="500">
                  <c:v>0.24197072451914337</c:v>
                </c:pt>
                <c:pt idx="501">
                  <c:v>0.23955109772801336</c:v>
                </c:pt>
                <c:pt idx="502">
                  <c:v>0.23713195201937959</c:v>
                </c:pt>
                <c:pt idx="503">
                  <c:v>0.23471376389701182</c:v>
                </c:pt>
                <c:pt idx="504">
                  <c:v>0.2322970047433662</c:v>
                </c:pt>
                <c:pt idx="505">
                  <c:v>0.22988214068423302</c:v>
                </c:pt>
                <c:pt idx="506">
                  <c:v>0.22746963245738591</c:v>
                </c:pt>
                <c:pt idx="507">
                  <c:v>0.22505993528526966</c:v>
                </c:pt>
                <c:pt idx="508">
                  <c:v>0.22265349875176113</c:v>
                </c:pt>
                <c:pt idx="509">
                  <c:v>0.22025076668303326</c:v>
                </c:pt>
                <c:pt idx="510">
                  <c:v>0.21785217703255053</c:v>
                </c:pt>
                <c:pt idx="511">
                  <c:v>0.21545816177021967</c:v>
                </c:pt>
                <c:pt idx="512">
                  <c:v>0.21306914677571784</c:v>
                </c:pt>
                <c:pt idx="513">
                  <c:v>0.21068555173601533</c:v>
                </c:pt>
                <c:pt idx="514">
                  <c:v>0.20830779004710837</c:v>
                </c:pt>
                <c:pt idx="515">
                  <c:v>0.20593626871997478</c:v>
                </c:pt>
                <c:pt idx="516">
                  <c:v>0.20357138829075944</c:v>
                </c:pt>
                <c:pt idx="517">
                  <c:v>0.2012135427351974</c:v>
                </c:pt>
                <c:pt idx="518">
                  <c:v>0.19886311938727591</c:v>
                </c:pt>
                <c:pt idx="519">
                  <c:v>0.19652049886213654</c:v>
                </c:pt>
                <c:pt idx="520">
                  <c:v>0.19418605498321295</c:v>
                </c:pt>
                <c:pt idx="521">
                  <c:v>0.19186015471359938</c:v>
                </c:pt>
                <c:pt idx="522">
                  <c:v>0.18954315809164024</c:v>
                </c:pt>
                <c:pt idx="523">
                  <c:v>0.18723541817072956</c:v>
                </c:pt>
                <c:pt idx="524">
                  <c:v>0.18493728096330531</c:v>
                </c:pt>
                <c:pt idx="525">
                  <c:v>0.18264908538902191</c:v>
                </c:pt>
                <c:pt idx="526">
                  <c:v>0.18037116322708033</c:v>
                </c:pt>
                <c:pt idx="527">
                  <c:v>0.17810383907269359</c:v>
                </c:pt>
                <c:pt idx="528">
                  <c:v>0.17584743029766237</c:v>
                </c:pt>
                <c:pt idx="529">
                  <c:v>0.17360224701503299</c:v>
                </c:pt>
                <c:pt idx="530">
                  <c:v>0.17136859204780736</c:v>
                </c:pt>
                <c:pt idx="531">
                  <c:v>0.16914676090167238</c:v>
                </c:pt>
                <c:pt idx="532">
                  <c:v>0.16693704174171381</c:v>
                </c:pt>
                <c:pt idx="533">
                  <c:v>0.1647397153730768</c:v>
                </c:pt>
                <c:pt idx="534">
                  <c:v>0.16255505522553412</c:v>
                </c:pt>
                <c:pt idx="535">
                  <c:v>0.1603833273419196</c:v>
                </c:pt>
                <c:pt idx="536">
                  <c:v>0.15822479037038303</c:v>
                </c:pt>
                <c:pt idx="537">
                  <c:v>0.15607969556042084</c:v>
                </c:pt>
                <c:pt idx="538">
                  <c:v>0.15394828676263372</c:v>
                </c:pt>
                <c:pt idx="539">
                  <c:v>0.15183080043216168</c:v>
                </c:pt>
                <c:pt idx="540">
                  <c:v>0.14972746563574488</c:v>
                </c:pt>
                <c:pt idx="541">
                  <c:v>0.14763850406235574</c:v>
                </c:pt>
                <c:pt idx="542">
                  <c:v>0.14556413003734761</c:v>
                </c:pt>
                <c:pt idx="543">
                  <c:v>0.14350455054006242</c:v>
                </c:pt>
                <c:pt idx="544">
                  <c:v>0.14145996522483878</c:v>
                </c:pt>
                <c:pt idx="545">
                  <c:v>0.13943056644536028</c:v>
                </c:pt>
                <c:pt idx="546">
                  <c:v>0.13741653928228179</c:v>
                </c:pt>
                <c:pt idx="547">
                  <c:v>0.1354180615740713</c:v>
                </c:pt>
                <c:pt idx="548">
                  <c:v>0.13343530395100231</c:v>
                </c:pt>
                <c:pt idx="549">
                  <c:v>0.13146842987223104</c:v>
                </c:pt>
                <c:pt idx="550">
                  <c:v>0.12951759566589174</c:v>
                </c:pt>
                <c:pt idx="551">
                  <c:v>0.12758295057214186</c:v>
                </c:pt>
                <c:pt idx="552">
                  <c:v>0.12566463678908815</c:v>
                </c:pt>
                <c:pt idx="553">
                  <c:v>0.12376278952152313</c:v>
                </c:pt>
                <c:pt idx="554">
                  <c:v>0.12187753703240178</c:v>
                </c:pt>
                <c:pt idx="555">
                  <c:v>0.12000900069698558</c:v>
                </c:pt>
                <c:pt idx="556">
                  <c:v>0.11815729505958227</c:v>
                </c:pt>
                <c:pt idx="557">
                  <c:v>0.11632252789280709</c:v>
                </c:pt>
                <c:pt idx="558">
                  <c:v>0.11450480025929236</c:v>
                </c:pt>
                <c:pt idx="559">
                  <c:v>0.11270420657577056</c:v>
                </c:pt>
                <c:pt idx="560">
                  <c:v>0.11092083467945554</c:v>
                </c:pt>
                <c:pt idx="561">
                  <c:v>0.10915476589664735</c:v>
                </c:pt>
                <c:pt idx="562">
                  <c:v>0.1074060751134838</c:v>
                </c:pt>
                <c:pt idx="563">
                  <c:v>0.10567483084876363</c:v>
                </c:pt>
                <c:pt idx="564">
                  <c:v>0.10396109532876423</c:v>
                </c:pt>
                <c:pt idx="565">
                  <c:v>0.10226492456397804</c:v>
                </c:pt>
                <c:pt idx="566">
                  <c:v>0.10058636842769057</c:v>
                </c:pt>
                <c:pt idx="567">
                  <c:v>9.8925470736323712E-2</c:v>
                </c:pt>
                <c:pt idx="568">
                  <c:v>9.7282269331467511E-2</c:v>
                </c:pt>
                <c:pt idx="569">
                  <c:v>9.5656796163524016E-2</c:v>
                </c:pt>
                <c:pt idx="570">
                  <c:v>9.4049077376886947E-2</c:v>
                </c:pt>
                <c:pt idx="571">
                  <c:v>9.2459133396580684E-2</c:v>
                </c:pt>
                <c:pt idx="572">
                  <c:v>9.0886979016282871E-2</c:v>
                </c:pt>
                <c:pt idx="573">
                  <c:v>8.9332623487655E-2</c:v>
                </c:pt>
                <c:pt idx="574">
                  <c:v>8.7796070610905622E-2</c:v>
                </c:pt>
                <c:pt idx="575">
                  <c:v>8.6277318826511532E-2</c:v>
                </c:pt>
                <c:pt idx="576">
                  <c:v>8.4776361308022227E-2</c:v>
                </c:pt>
                <c:pt idx="577">
                  <c:v>8.3293186055874463E-2</c:v>
                </c:pt>
                <c:pt idx="578">
                  <c:v>8.1827775992142804E-2</c:v>
                </c:pt>
                <c:pt idx="579">
                  <c:v>8.038010905615417E-2</c:v>
                </c:pt>
                <c:pt idx="580">
                  <c:v>7.8950158300894149E-2</c:v>
                </c:pt>
                <c:pt idx="581">
                  <c:v>7.7537891990133986E-2</c:v>
                </c:pt>
                <c:pt idx="582">
                  <c:v>7.6143273696207311E-2</c:v>
                </c:pt>
                <c:pt idx="583">
                  <c:v>7.4766262398367603E-2</c:v>
                </c:pt>
                <c:pt idx="584">
                  <c:v>7.3406812581656891E-2</c:v>
                </c:pt>
                <c:pt idx="585">
                  <c:v>7.2064874336217985E-2</c:v>
                </c:pt>
                <c:pt idx="586">
                  <c:v>7.074039345698338E-2</c:v>
                </c:pt>
                <c:pt idx="587">
                  <c:v>6.9433311543674187E-2</c:v>
                </c:pt>
                <c:pt idx="588">
                  <c:v>6.8143566101044578E-2</c:v>
                </c:pt>
                <c:pt idx="589">
                  <c:v>6.6871090639307157E-2</c:v>
                </c:pt>
                <c:pt idx="590">
                  <c:v>6.5615814774676595E-2</c:v>
                </c:pt>
                <c:pt idx="591">
                  <c:v>6.4377664329969359E-2</c:v>
                </c:pt>
                <c:pt idx="592">
                  <c:v>6.3156561435198655E-2</c:v>
                </c:pt>
                <c:pt idx="593">
                  <c:v>6.1952424628105164E-2</c:v>
                </c:pt>
                <c:pt idx="594">
                  <c:v>6.0765168954564776E-2</c:v>
                </c:pt>
                <c:pt idx="595">
                  <c:v>5.9594706068816075E-2</c:v>
                </c:pt>
                <c:pt idx="596">
                  <c:v>5.8440944333451469E-2</c:v>
                </c:pt>
                <c:pt idx="597">
                  <c:v>5.7303788919117131E-2</c:v>
                </c:pt>
                <c:pt idx="598">
                  <c:v>5.6183141903868049E-2</c:v>
                </c:pt>
                <c:pt idx="599">
                  <c:v>5.5078902372125767E-2</c:v>
                </c:pt>
                <c:pt idx="600">
                  <c:v>5.3990966513188063E-2</c:v>
                </c:pt>
                <c:pt idx="601">
                  <c:v>5.2919227719240312E-2</c:v>
                </c:pt>
                <c:pt idx="602">
                  <c:v>5.1863576682820565E-2</c:v>
                </c:pt>
                <c:pt idx="603">
                  <c:v>5.0823901493691204E-2</c:v>
                </c:pt>
                <c:pt idx="604">
                  <c:v>4.9800087735070775E-2</c:v>
                </c:pt>
                <c:pt idx="605">
                  <c:v>4.8792018579182764E-2</c:v>
                </c:pt>
                <c:pt idx="606">
                  <c:v>4.7799574882077034E-2</c:v>
                </c:pt>
                <c:pt idx="607">
                  <c:v>4.6822635277683163E-2</c:v>
                </c:pt>
                <c:pt idx="608">
                  <c:v>4.5861076271054887E-2</c:v>
                </c:pt>
                <c:pt idx="609">
                  <c:v>4.49147723307671E-2</c:v>
                </c:pt>
                <c:pt idx="610">
                  <c:v>4.3983595980427191E-2</c:v>
                </c:pt>
                <c:pt idx="611">
                  <c:v>4.3067417889265734E-2</c:v>
                </c:pt>
                <c:pt idx="612">
                  <c:v>4.2166106961770311E-2</c:v>
                </c:pt>
                <c:pt idx="613">
                  <c:v>4.1279530426330417E-2</c:v>
                </c:pt>
                <c:pt idx="614">
                  <c:v>4.0407553922860308E-2</c:v>
                </c:pt>
                <c:pt idx="615">
                  <c:v>3.955004158937022E-2</c:v>
                </c:pt>
                <c:pt idx="616">
                  <c:v>3.8706856147455608E-2</c:v>
                </c:pt>
                <c:pt idx="617">
                  <c:v>3.7877858986677483E-2</c:v>
                </c:pt>
                <c:pt idx="618">
                  <c:v>3.7062910247806474E-2</c:v>
                </c:pt>
                <c:pt idx="619">
                  <c:v>3.6261868904906222E-2</c:v>
                </c:pt>
                <c:pt idx="620">
                  <c:v>3.5474592846231424E-2</c:v>
                </c:pt>
                <c:pt idx="621">
                  <c:v>3.470093895391882E-2</c:v>
                </c:pt>
                <c:pt idx="622">
                  <c:v>3.3940763182449186E-2</c:v>
                </c:pt>
                <c:pt idx="623">
                  <c:v>3.3193920635861122E-2</c:v>
                </c:pt>
                <c:pt idx="624">
                  <c:v>3.2460265643697445E-2</c:v>
                </c:pt>
                <c:pt idx="625">
                  <c:v>3.1739651835667418E-2</c:v>
                </c:pt>
                <c:pt idx="626">
                  <c:v>3.103193221500827E-2</c:v>
                </c:pt>
                <c:pt idx="627">
                  <c:v>3.0336959230531636E-2</c:v>
                </c:pt>
                <c:pt idx="628">
                  <c:v>2.9654584847341278E-2</c:v>
                </c:pt>
                <c:pt idx="629">
                  <c:v>2.8984660616209412E-2</c:v>
                </c:pt>
                <c:pt idx="630">
                  <c:v>2.8327037741601186E-2</c:v>
                </c:pt>
                <c:pt idx="631">
                  <c:v>2.7681567148336573E-2</c:v>
                </c:pt>
                <c:pt idx="632">
                  <c:v>2.7048099546881785E-2</c:v>
                </c:pt>
                <c:pt idx="633">
                  <c:v>2.6426485497261721E-2</c:v>
                </c:pt>
                <c:pt idx="634">
                  <c:v>2.581657547158769E-2</c:v>
                </c:pt>
                <c:pt idx="635">
                  <c:v>2.5218219915194382E-2</c:v>
                </c:pt>
                <c:pt idx="636">
                  <c:v>2.4631269306382507E-2</c:v>
                </c:pt>
                <c:pt idx="637">
                  <c:v>2.4055574214762971E-2</c:v>
                </c:pt>
                <c:pt idx="638">
                  <c:v>2.3490985358201363E-2</c:v>
                </c:pt>
                <c:pt idx="639">
                  <c:v>2.2937353658360693E-2</c:v>
                </c:pt>
                <c:pt idx="640">
                  <c:v>2.2394530294842899E-2</c:v>
                </c:pt>
                <c:pt idx="641">
                  <c:v>2.1862366757929387E-2</c:v>
                </c:pt>
                <c:pt idx="642">
                  <c:v>2.1340714899922782E-2</c:v>
                </c:pt>
                <c:pt idx="643">
                  <c:v>2.0829426985092186E-2</c:v>
                </c:pt>
                <c:pt idx="644">
                  <c:v>2.0328355738225837E-2</c:v>
                </c:pt>
                <c:pt idx="645">
                  <c:v>1.9837354391795313E-2</c:v>
                </c:pt>
                <c:pt idx="646">
                  <c:v>1.9356276731736961E-2</c:v>
                </c:pt>
                <c:pt idx="647">
                  <c:v>1.8884977141856163E-2</c:v>
                </c:pt>
                <c:pt idx="648">
                  <c:v>1.8423310646862048E-2</c:v>
                </c:pt>
                <c:pt idx="649">
                  <c:v>1.7971132954039633E-2</c:v>
                </c:pt>
                <c:pt idx="650">
                  <c:v>1.752830049356854E-2</c:v>
                </c:pt>
                <c:pt idx="651">
                  <c:v>1.7094670457496956E-2</c:v>
                </c:pt>
                <c:pt idx="652">
                  <c:v>1.6670100837381057E-2</c:v>
                </c:pt>
                <c:pt idx="653">
                  <c:v>1.6254450460600506E-2</c:v>
                </c:pt>
                <c:pt idx="654">
                  <c:v>1.5847579025360818E-2</c:v>
                </c:pt>
                <c:pt idx="655">
                  <c:v>1.5449347134395174E-2</c:v>
                </c:pt>
                <c:pt idx="656">
                  <c:v>1.5059616327377449E-2</c:v>
                </c:pt>
                <c:pt idx="657">
                  <c:v>1.4678249112060044E-2</c:v>
                </c:pt>
                <c:pt idx="658">
                  <c:v>1.430510899414969E-2</c:v>
                </c:pt>
                <c:pt idx="659">
                  <c:v>1.3940060505935825E-2</c:v>
                </c:pt>
                <c:pt idx="660">
                  <c:v>1.3582969233685613E-2</c:v>
                </c:pt>
                <c:pt idx="661">
                  <c:v>1.3233701843821374E-2</c:v>
                </c:pt>
                <c:pt idx="662">
                  <c:v>1.2892126107895304E-2</c:v>
                </c:pt>
                <c:pt idx="663">
                  <c:v>1.2558110926378211E-2</c:v>
                </c:pt>
                <c:pt idx="664">
                  <c:v>1.2231526351277971E-2</c:v>
                </c:pt>
                <c:pt idx="665">
                  <c:v>1.1912243607605179E-2</c:v>
                </c:pt>
                <c:pt idx="666">
                  <c:v>1.1600135113702561E-2</c:v>
                </c:pt>
                <c:pt idx="667">
                  <c:v>1.1295074500456135E-2</c:v>
                </c:pt>
                <c:pt idx="668">
                  <c:v>1.0996936629405572E-2</c:v>
                </c:pt>
                <c:pt idx="669">
                  <c:v>1.0705597609772187E-2</c:v>
                </c:pt>
                <c:pt idx="670">
                  <c:v>1.0420934814422592E-2</c:v>
                </c:pt>
                <c:pt idx="671">
                  <c:v>1.0142826894787077E-2</c:v>
                </c:pt>
                <c:pt idx="672">
                  <c:v>9.8711537947511301E-3</c:v>
                </c:pt>
                <c:pt idx="673">
                  <c:v>9.6057967635395872E-3</c:v>
                </c:pt>
                <c:pt idx="674">
                  <c:v>9.3466383676122835E-3</c:v>
                </c:pt>
                <c:pt idx="675">
                  <c:v>9.0935625015910529E-3</c:v>
                </c:pt>
                <c:pt idx="676">
                  <c:v>8.8464543982372315E-3</c:v>
                </c:pt>
                <c:pt idx="677">
                  <c:v>8.6052006374996715E-3</c:v>
                </c:pt>
                <c:pt idx="678">
                  <c:v>8.369689154653033E-3</c:v>
                </c:pt>
                <c:pt idx="679">
                  <c:v>8.1398092475460215E-3</c:v>
                </c:pt>
                <c:pt idx="680">
                  <c:v>7.9154515829799686E-3</c:v>
                </c:pt>
                <c:pt idx="681">
                  <c:v>7.6965082022373218E-3</c:v>
                </c:pt>
                <c:pt idx="682">
                  <c:v>7.4828725257805638E-3</c:v>
                </c:pt>
                <c:pt idx="683">
                  <c:v>7.2744393571412182E-3</c:v>
                </c:pt>
                <c:pt idx="684">
                  <c:v>7.0711048860194487E-3</c:v>
                </c:pt>
                <c:pt idx="685">
                  <c:v>6.8727666906139712E-3</c:v>
                </c:pt>
                <c:pt idx="686">
                  <c:v>6.6793237392026202E-3</c:v>
                </c:pt>
                <c:pt idx="687">
                  <c:v>6.4906763909933643E-3</c:v>
                </c:pt>
                <c:pt idx="688">
                  <c:v>6.3067263962659275E-3</c:v>
                </c:pt>
                <c:pt idx="689">
                  <c:v>6.1273768958236873E-3</c:v>
                </c:pt>
                <c:pt idx="690">
                  <c:v>5.9525324197758538E-3</c:v>
                </c:pt>
                <c:pt idx="691">
                  <c:v>5.7820988856694729E-3</c:v>
                </c:pt>
                <c:pt idx="692">
                  <c:v>5.615983595990969E-3</c:v>
                </c:pt>
                <c:pt idx="693">
                  <c:v>5.4540952350565454E-3</c:v>
                </c:pt>
                <c:pt idx="694">
                  <c:v>5.2963438653110201E-3</c:v>
                </c:pt>
                <c:pt idx="695">
                  <c:v>5.1426409230539392E-3</c:v>
                </c:pt>
                <c:pt idx="696">
                  <c:v>4.9928992136123763E-3</c:v>
                </c:pt>
                <c:pt idx="697">
                  <c:v>4.847032905978944E-3</c:v>
                </c:pt>
                <c:pt idx="698">
                  <c:v>4.7049575269339792E-3</c:v>
                </c:pt>
                <c:pt idx="699">
                  <c:v>4.5665899546701444E-3</c:v>
                </c:pt>
                <c:pt idx="700">
                  <c:v>4.4318484119380075E-3</c:v>
                </c:pt>
                <c:pt idx="701">
                  <c:v>4.3006524587304498E-3</c:v>
                </c:pt>
                <c:pt idx="702">
                  <c:v>4.1729229845239623E-3</c:v>
                </c:pt>
                <c:pt idx="703">
                  <c:v>4.04858220009443E-3</c:v>
                </c:pt>
                <c:pt idx="704">
                  <c:v>3.9275536289247789E-3</c:v>
                </c:pt>
                <c:pt idx="705">
                  <c:v>3.8097620982218104E-3</c:v>
                </c:pt>
                <c:pt idx="706">
                  <c:v>3.6951337295590349E-3</c:v>
                </c:pt>
                <c:pt idx="707">
                  <c:v>3.5835959291623614E-3</c:v>
                </c:pt>
                <c:pt idx="708">
                  <c:v>3.4750773778549375E-3</c:v>
                </c:pt>
                <c:pt idx="709">
                  <c:v>3.3695080206774812E-3</c:v>
                </c:pt>
                <c:pt idx="710">
                  <c:v>3.2668190561999182E-3</c:v>
                </c:pt>
                <c:pt idx="711">
                  <c:v>3.1669429255400811E-3</c:v>
                </c:pt>
                <c:pt idx="712">
                  <c:v>3.0698133011047403E-3</c:v>
                </c:pt>
                <c:pt idx="713">
                  <c:v>2.9753650750682535E-3</c:v>
                </c:pt>
                <c:pt idx="714">
                  <c:v>2.8835343476034392E-3</c:v>
                </c:pt>
                <c:pt idx="715">
                  <c:v>2.7942584148794472E-3</c:v>
                </c:pt>
                <c:pt idx="716">
                  <c:v>2.7074757568406999E-3</c:v>
                </c:pt>
                <c:pt idx="717">
                  <c:v>2.6231260247810244E-3</c:v>
                </c:pt>
                <c:pt idx="718">
                  <c:v>2.5411500287265214E-3</c:v>
                </c:pt>
                <c:pt idx="719">
                  <c:v>2.4614897246407006E-3</c:v>
                </c:pt>
                <c:pt idx="720">
                  <c:v>2.3840882014648404E-3</c:v>
                </c:pt>
                <c:pt idx="721">
                  <c:v>2.3088896680064958E-3</c:v>
                </c:pt>
                <c:pt idx="722">
                  <c:v>2.2358394396885385E-3</c:v>
                </c:pt>
                <c:pt idx="723">
                  <c:v>2.164883925171062E-3</c:v>
                </c:pt>
                <c:pt idx="724">
                  <c:v>2.0959706128579419E-3</c:v>
                </c:pt>
                <c:pt idx="725">
                  <c:v>2.0290480572997681E-3</c:v>
                </c:pt>
                <c:pt idx="726">
                  <c:v>1.9640658655043761E-3</c:v>
                </c:pt>
                <c:pt idx="727">
                  <c:v>1.9009746831660803E-3</c:v>
                </c:pt>
                <c:pt idx="728">
                  <c:v>1.839726180824281E-3</c:v>
                </c:pt>
                <c:pt idx="729">
                  <c:v>1.7802730399618786E-3</c:v>
                </c:pt>
                <c:pt idx="730">
                  <c:v>1.7225689390536812E-3</c:v>
                </c:pt>
                <c:pt idx="731">
                  <c:v>1.6665685395745797E-3</c:v>
                </c:pt>
                <c:pt idx="732">
                  <c:v>1.6122274719771244E-3</c:v>
                </c:pt>
                <c:pt idx="733">
                  <c:v>1.5595023216476915E-3</c:v>
                </c:pt>
                <c:pt idx="734">
                  <c:v>1.5083506148503073E-3</c:v>
                </c:pt>
                <c:pt idx="735">
                  <c:v>1.4587308046667459E-3</c:v>
                </c:pt>
                <c:pt idx="736">
                  <c:v>1.4106022569413848E-3</c:v>
                </c:pt>
                <c:pt idx="737">
                  <c:v>1.3639252362389036E-3</c:v>
                </c:pt>
                <c:pt idx="738">
                  <c:v>1.3186608918227423E-3</c:v>
                </c:pt>
                <c:pt idx="739">
                  <c:v>1.2747712436618327E-3</c:v>
                </c:pt>
                <c:pt idx="740">
                  <c:v>1.2322191684730199E-3</c:v>
                </c:pt>
                <c:pt idx="741">
                  <c:v>1.1909683858061166E-3</c:v>
                </c:pt>
                <c:pt idx="742">
                  <c:v>1.1509834441784845E-3</c:v>
                </c:pt>
                <c:pt idx="743">
                  <c:v>1.1122297072655649E-3</c:v>
                </c:pt>
                <c:pt idx="744">
                  <c:v>1.0746733401537356E-3</c:v>
                </c:pt>
                <c:pt idx="745">
                  <c:v>1.0382812956614103E-3</c:v>
                </c:pt>
                <c:pt idx="746">
                  <c:v>1.0030213007342376E-3</c:v>
                </c:pt>
                <c:pt idx="747">
                  <c:v>9.6886184291984591E-4</c:v>
                </c:pt>
                <c:pt idx="748">
                  <c:v>9.3577215692747977E-4</c:v>
                </c:pt>
                <c:pt idx="749">
                  <c:v>9.0372221127752448E-4</c:v>
                </c:pt>
                <c:pt idx="750">
                  <c:v>8.7268269504576015E-4</c:v>
                </c:pt>
                <c:pt idx="751">
                  <c:v>8.4262500470690268E-4</c:v>
                </c:pt>
                <c:pt idx="752">
                  <c:v>8.1352123108180841E-4</c:v>
                </c:pt>
                <c:pt idx="753">
                  <c:v>7.8534414639246997E-4</c:v>
                </c:pt>
                <c:pt idx="754">
                  <c:v>7.580671914287103E-4</c:v>
                </c:pt>
                <c:pt idx="755">
                  <c:v>7.3166446283031089E-4</c:v>
                </c:pt>
                <c:pt idx="756">
                  <c:v>7.061107004880362E-4</c:v>
                </c:pt>
                <c:pt idx="757">
                  <c:v>6.8138127506689212E-4</c:v>
                </c:pt>
                <c:pt idx="758">
                  <c:v>6.5745217565467645E-4</c:v>
                </c:pt>
                <c:pt idx="759">
                  <c:v>6.342999975387576E-4</c:v>
                </c:pt>
                <c:pt idx="760">
                  <c:v>6.119019301137719E-4</c:v>
                </c:pt>
                <c:pt idx="761">
                  <c:v>5.9023574492278561E-4</c:v>
                </c:pt>
                <c:pt idx="762">
                  <c:v>5.6927978383425261E-4</c:v>
                </c:pt>
                <c:pt idx="763">
                  <c:v>5.490129473569587E-4</c:v>
                </c:pt>
                <c:pt idx="764">
                  <c:v>5.2941468309493475E-4</c:v>
                </c:pt>
                <c:pt idx="765">
                  <c:v>5.104649743441856E-4</c:v>
                </c:pt>
                <c:pt idx="766">
                  <c:v>4.9214432883289312E-4</c:v>
                </c:pt>
                <c:pt idx="767">
                  <c:v>4.7443376760662064E-4</c:v>
                </c:pt>
                <c:pt idx="768">
                  <c:v>4.5731481405985675E-4</c:v>
                </c:pt>
                <c:pt idx="769">
                  <c:v>4.4076948311513252E-4</c:v>
                </c:pt>
                <c:pt idx="770">
                  <c:v>4.2478027055075143E-4</c:v>
                </c:pt>
                <c:pt idx="771">
                  <c:v>4.0933014247807883E-4</c:v>
                </c:pt>
                <c:pt idx="772">
                  <c:v>3.9440252496915622E-4</c:v>
                </c:pt>
                <c:pt idx="773">
                  <c:v>3.7998129383532141E-4</c:v>
                </c:pt>
                <c:pt idx="774">
                  <c:v>3.6605076455733496E-4</c:v>
                </c:pt>
                <c:pt idx="775">
                  <c:v>3.5259568236744541E-4</c:v>
                </c:pt>
                <c:pt idx="776">
                  <c:v>3.3960121248365478E-4</c:v>
                </c:pt>
                <c:pt idx="777">
                  <c:v>3.2705293049637498E-4</c:v>
                </c:pt>
                <c:pt idx="778">
                  <c:v>3.1493681290752188E-4</c:v>
                </c:pt>
                <c:pt idx="779">
                  <c:v>3.0323922782200417E-4</c:v>
                </c:pt>
                <c:pt idx="780">
                  <c:v>2.9194692579146027E-4</c:v>
                </c:pt>
                <c:pt idx="781">
                  <c:v>2.8104703080998632E-4</c:v>
                </c:pt>
                <c:pt idx="782">
                  <c:v>2.70527031461521E-4</c:v>
                </c:pt>
                <c:pt idx="783">
                  <c:v>2.6037477221844247E-4</c:v>
                </c:pt>
                <c:pt idx="784">
                  <c:v>2.5057844489086075E-4</c:v>
                </c:pt>
                <c:pt idx="785">
                  <c:v>2.4112658022599324E-4</c:v>
                </c:pt>
                <c:pt idx="786">
                  <c:v>2.3200803965694238E-4</c:v>
                </c:pt>
                <c:pt idx="787">
                  <c:v>2.2321200720010206E-4</c:v>
                </c:pt>
                <c:pt idx="788">
                  <c:v>2.1472798150036704E-4</c:v>
                </c:pt>
                <c:pt idx="789">
                  <c:v>2.0654576802322548E-4</c:v>
                </c:pt>
                <c:pt idx="790">
                  <c:v>1.9865547139277272E-4</c:v>
                </c:pt>
                <c:pt idx="791">
                  <c:v>1.9104748787459762E-4</c:v>
                </c:pt>
                <c:pt idx="792">
                  <c:v>1.8371249800245711E-4</c:v>
                </c:pt>
                <c:pt idx="793">
                  <c:v>1.7664145934757092E-4</c:v>
                </c:pt>
                <c:pt idx="794">
                  <c:v>1.6982559942934359E-4</c:v>
                </c:pt>
                <c:pt idx="795">
                  <c:v>1.6325640876624199E-4</c:v>
                </c:pt>
                <c:pt idx="796">
                  <c:v>1.5692563406553226E-4</c:v>
                </c:pt>
                <c:pt idx="797">
                  <c:v>1.508252715505178E-4</c:v>
                </c:pt>
                <c:pt idx="798">
                  <c:v>1.4494756042389106E-4</c:v>
                </c:pt>
                <c:pt idx="799">
                  <c:v>1.3928497646575994E-4</c:v>
                </c:pt>
                <c:pt idx="800">
                  <c:v>1.3383022576488537E-4</c:v>
                </c:pt>
              </c:numCache>
            </c:numRef>
          </c:val>
          <c:smooth val="0"/>
          <c:extLst>
            <c:ext xmlns:c16="http://schemas.microsoft.com/office/drawing/2014/chart" uri="{C3380CC4-5D6E-409C-BE32-E72D297353CC}">
              <c16:uniqueId val="{00000000-3EDF-4EE7-B401-17F2E60FDB2B}"/>
            </c:ext>
          </c:extLst>
        </c:ser>
        <c:dLbls>
          <c:showLegendKey val="0"/>
          <c:showVal val="0"/>
          <c:showCatName val="0"/>
          <c:showSerName val="0"/>
          <c:showPercent val="0"/>
          <c:showBubbleSize val="0"/>
        </c:dLbls>
        <c:smooth val="0"/>
        <c:axId val="39133184"/>
        <c:axId val="39134720"/>
      </c:lineChart>
      <c:catAx>
        <c:axId val="39133184"/>
        <c:scaling>
          <c:orientation val="minMax"/>
        </c:scaling>
        <c:delete val="0"/>
        <c:axPos val="b"/>
        <c:majorTickMark val="out"/>
        <c:minorTickMark val="none"/>
        <c:tickLblPos val="nextTo"/>
        <c:crossAx val="39134720"/>
        <c:crosses val="autoZero"/>
        <c:auto val="1"/>
        <c:lblAlgn val="ctr"/>
        <c:lblOffset val="100"/>
        <c:noMultiLvlLbl val="0"/>
      </c:catAx>
      <c:valAx>
        <c:axId val="39134720"/>
        <c:scaling>
          <c:orientation val="minMax"/>
        </c:scaling>
        <c:delete val="0"/>
        <c:axPos val="l"/>
        <c:majorGridlines/>
        <c:numFmt formatCode="0.00000000000000000000" sourceLinked="1"/>
        <c:majorTickMark val="out"/>
        <c:minorTickMark val="none"/>
        <c:tickLblPos val="nextTo"/>
        <c:crossAx val="39133184"/>
        <c:crosses val="autoZero"/>
        <c:crossBetween val="between"/>
      </c:valAx>
    </c:plotArea>
    <c:legend>
      <c:legendPos val="r"/>
      <c:overlay val="0"/>
    </c:legend>
    <c:plotVisOnly val="1"/>
    <c:dispBlanksAs val="gap"/>
    <c:showDLblsOverMax val="0"/>
  </c:chart>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'Bölüm 2'!$A$625:$A$629</c:f>
              <c:strCache>
                <c:ptCount val="5"/>
                <c:pt idx="0">
                  <c:v>9,95-10,45</c:v>
                </c:pt>
                <c:pt idx="1">
                  <c:v>10,45-10,95</c:v>
                </c:pt>
                <c:pt idx="2">
                  <c:v>10,95-11,45</c:v>
                </c:pt>
                <c:pt idx="3">
                  <c:v>11,45-11,95</c:v>
                </c:pt>
                <c:pt idx="4">
                  <c:v>11,95-12,45</c:v>
                </c:pt>
              </c:strCache>
            </c:strRef>
          </c:cat>
          <c:val>
            <c:numRef>
              <c:f>'Bölüm 2'!$B$625:$B$629</c:f>
              <c:numCache>
                <c:formatCode>General</c:formatCode>
                <c:ptCount val="5"/>
                <c:pt idx="0">
                  <c:v>2</c:v>
                </c:pt>
                <c:pt idx="1">
                  <c:v>8</c:v>
                </c:pt>
                <c:pt idx="2">
                  <c:v>6</c:v>
                </c:pt>
                <c:pt idx="3">
                  <c:v>3</c:v>
                </c:pt>
                <c:pt idx="4">
                  <c:v>1</c:v>
                </c:pt>
              </c:numCache>
            </c:numRef>
          </c:val>
          <c:extLst>
            <c:ext xmlns:c16="http://schemas.microsoft.com/office/drawing/2014/chart" uri="{C3380CC4-5D6E-409C-BE32-E72D297353CC}">
              <c16:uniqueId val="{00000000-3040-43FA-B9EF-1732038834F4}"/>
            </c:ext>
          </c:extLst>
        </c:ser>
        <c:dLbls>
          <c:showLegendKey val="0"/>
          <c:showVal val="0"/>
          <c:showCatName val="0"/>
          <c:showSerName val="0"/>
          <c:showPercent val="0"/>
          <c:showBubbleSize val="0"/>
        </c:dLbls>
        <c:gapWidth val="0"/>
        <c:overlap val="100"/>
        <c:axId val="35962240"/>
        <c:axId val="35968128"/>
      </c:barChart>
      <c:catAx>
        <c:axId val="35962240"/>
        <c:scaling>
          <c:orientation val="minMax"/>
        </c:scaling>
        <c:delete val="0"/>
        <c:axPos val="b"/>
        <c:numFmt formatCode="General" sourceLinked="0"/>
        <c:majorTickMark val="out"/>
        <c:minorTickMark val="none"/>
        <c:tickLblPos val="nextTo"/>
        <c:crossAx val="35968128"/>
        <c:crosses val="autoZero"/>
        <c:auto val="1"/>
        <c:lblAlgn val="ctr"/>
        <c:lblOffset val="100"/>
        <c:noMultiLvlLbl val="0"/>
      </c:catAx>
      <c:valAx>
        <c:axId val="35968128"/>
        <c:scaling>
          <c:orientation val="minMax"/>
        </c:scaling>
        <c:delete val="0"/>
        <c:axPos val="l"/>
        <c:majorGridlines/>
        <c:numFmt formatCode="General" sourceLinked="1"/>
        <c:majorTickMark val="out"/>
        <c:minorTickMark val="none"/>
        <c:tickLblPos val="nextTo"/>
        <c:crossAx val="35962240"/>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'Bölüm 2'!$A$655:$A$658</c:f>
              <c:strCache>
                <c:ptCount val="4"/>
                <c:pt idx="0">
                  <c:v>0_1</c:v>
                </c:pt>
                <c:pt idx="1">
                  <c:v>1_2</c:v>
                </c:pt>
                <c:pt idx="2">
                  <c:v>2_3</c:v>
                </c:pt>
                <c:pt idx="3">
                  <c:v>3_4</c:v>
                </c:pt>
              </c:strCache>
            </c:strRef>
          </c:cat>
          <c:val>
            <c:numRef>
              <c:f>'Bölüm 2'!$B$655:$B$658</c:f>
              <c:numCache>
                <c:formatCode>General</c:formatCode>
                <c:ptCount val="4"/>
                <c:pt idx="0">
                  <c:v>6</c:v>
                </c:pt>
                <c:pt idx="1">
                  <c:v>9</c:v>
                </c:pt>
                <c:pt idx="2">
                  <c:v>4</c:v>
                </c:pt>
                <c:pt idx="3">
                  <c:v>1</c:v>
                </c:pt>
              </c:numCache>
            </c:numRef>
          </c:val>
          <c:extLst>
            <c:ext xmlns:c16="http://schemas.microsoft.com/office/drawing/2014/chart" uri="{C3380CC4-5D6E-409C-BE32-E72D297353CC}">
              <c16:uniqueId val="{00000000-06A8-4863-8B73-BAB54EA46581}"/>
            </c:ext>
          </c:extLst>
        </c:ser>
        <c:dLbls>
          <c:showLegendKey val="0"/>
          <c:showVal val="0"/>
          <c:showCatName val="0"/>
          <c:showSerName val="0"/>
          <c:showPercent val="0"/>
          <c:showBubbleSize val="0"/>
        </c:dLbls>
        <c:gapWidth val="0"/>
        <c:overlap val="100"/>
        <c:axId val="66072960"/>
        <c:axId val="66074496"/>
      </c:barChart>
      <c:catAx>
        <c:axId val="66072960"/>
        <c:scaling>
          <c:orientation val="minMax"/>
        </c:scaling>
        <c:delete val="0"/>
        <c:axPos val="b"/>
        <c:numFmt formatCode="General" sourceLinked="0"/>
        <c:majorTickMark val="out"/>
        <c:minorTickMark val="none"/>
        <c:tickLblPos val="nextTo"/>
        <c:crossAx val="66074496"/>
        <c:crosses val="autoZero"/>
        <c:auto val="1"/>
        <c:lblAlgn val="ctr"/>
        <c:lblOffset val="100"/>
        <c:noMultiLvlLbl val="0"/>
      </c:catAx>
      <c:valAx>
        <c:axId val="66074496"/>
        <c:scaling>
          <c:orientation val="minMax"/>
        </c:scaling>
        <c:delete val="0"/>
        <c:axPos val="l"/>
        <c:majorGridlines/>
        <c:numFmt formatCode="General" sourceLinked="1"/>
        <c:majorTickMark val="out"/>
        <c:minorTickMark val="none"/>
        <c:tickLblPos val="nextTo"/>
        <c:crossAx val="66072960"/>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'Bölüm 2'!$A$681:$A$687</c:f>
              <c:strCache>
                <c:ptCount val="7"/>
                <c:pt idx="0">
                  <c:v>10000-15000</c:v>
                </c:pt>
                <c:pt idx="1">
                  <c:v>15000-20000</c:v>
                </c:pt>
                <c:pt idx="2">
                  <c:v>20000-25000</c:v>
                </c:pt>
                <c:pt idx="3">
                  <c:v>25000-30000</c:v>
                </c:pt>
                <c:pt idx="4">
                  <c:v>30000-40000</c:v>
                </c:pt>
                <c:pt idx="5">
                  <c:v>40000-50000</c:v>
                </c:pt>
                <c:pt idx="6">
                  <c:v>50000-60000</c:v>
                </c:pt>
              </c:strCache>
            </c:strRef>
          </c:cat>
          <c:val>
            <c:numRef>
              <c:f>'Bölüm 2'!$B$681:$B$687</c:f>
              <c:numCache>
                <c:formatCode>General</c:formatCode>
                <c:ptCount val="7"/>
                <c:pt idx="0">
                  <c:v>0.2</c:v>
                </c:pt>
                <c:pt idx="1">
                  <c:v>0.18</c:v>
                </c:pt>
                <c:pt idx="2">
                  <c:v>0.14000000000000001</c:v>
                </c:pt>
                <c:pt idx="3">
                  <c:v>0.12</c:v>
                </c:pt>
                <c:pt idx="4">
                  <c:v>0.14000000000000001</c:v>
                </c:pt>
                <c:pt idx="5">
                  <c:v>0.14000000000000001</c:v>
                </c:pt>
                <c:pt idx="6">
                  <c:v>0.08</c:v>
                </c:pt>
              </c:numCache>
            </c:numRef>
          </c:val>
          <c:extLst>
            <c:ext xmlns:c16="http://schemas.microsoft.com/office/drawing/2014/chart" uri="{C3380CC4-5D6E-409C-BE32-E72D297353CC}">
              <c16:uniqueId val="{00000000-B9F7-4691-8625-8D3E6B9E4DA2}"/>
            </c:ext>
          </c:extLst>
        </c:ser>
        <c:dLbls>
          <c:showLegendKey val="0"/>
          <c:showVal val="0"/>
          <c:showCatName val="0"/>
          <c:showSerName val="0"/>
          <c:showPercent val="0"/>
          <c:showBubbleSize val="0"/>
        </c:dLbls>
        <c:gapWidth val="150"/>
        <c:axId val="35984128"/>
        <c:axId val="35985664"/>
      </c:barChart>
      <c:catAx>
        <c:axId val="35984128"/>
        <c:scaling>
          <c:orientation val="minMax"/>
        </c:scaling>
        <c:delete val="0"/>
        <c:axPos val="b"/>
        <c:numFmt formatCode="General" sourceLinked="0"/>
        <c:majorTickMark val="out"/>
        <c:minorTickMark val="none"/>
        <c:tickLblPos val="nextTo"/>
        <c:crossAx val="35985664"/>
        <c:crosses val="autoZero"/>
        <c:auto val="1"/>
        <c:lblAlgn val="ctr"/>
        <c:lblOffset val="100"/>
        <c:noMultiLvlLbl val="0"/>
      </c:catAx>
      <c:valAx>
        <c:axId val="35985664"/>
        <c:scaling>
          <c:orientation val="minMax"/>
        </c:scaling>
        <c:delete val="0"/>
        <c:axPos val="l"/>
        <c:majorGridlines/>
        <c:numFmt formatCode="General" sourceLinked="1"/>
        <c:majorTickMark val="out"/>
        <c:minorTickMark val="none"/>
        <c:tickLblPos val="nextTo"/>
        <c:crossAx val="35984128"/>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'Bölüm 2'!$C$470:$C$477</c:f>
              <c:strCache>
                <c:ptCount val="8"/>
                <c:pt idx="0">
                  <c:v>0_5</c:v>
                </c:pt>
                <c:pt idx="1">
                  <c:v>5_10</c:v>
                </c:pt>
                <c:pt idx="2">
                  <c:v>10_15</c:v>
                </c:pt>
                <c:pt idx="3">
                  <c:v>15_20</c:v>
                </c:pt>
                <c:pt idx="4">
                  <c:v>20_25</c:v>
                </c:pt>
                <c:pt idx="5">
                  <c:v>25_30</c:v>
                </c:pt>
                <c:pt idx="6">
                  <c:v>30_35</c:v>
                </c:pt>
                <c:pt idx="7">
                  <c:v>35_40</c:v>
                </c:pt>
              </c:strCache>
            </c:strRef>
          </c:cat>
          <c:val>
            <c:numRef>
              <c:f>'Bölüm 2'!$D$470:$D$477</c:f>
              <c:numCache>
                <c:formatCode>General</c:formatCode>
                <c:ptCount val="8"/>
              </c:numCache>
            </c:numRef>
          </c:val>
          <c:extLst>
            <c:ext xmlns:c16="http://schemas.microsoft.com/office/drawing/2014/chart" uri="{C3380CC4-5D6E-409C-BE32-E72D297353CC}">
              <c16:uniqueId val="{00000000-6220-46DF-9447-ED667A4BEBB8}"/>
            </c:ext>
          </c:extLst>
        </c:ser>
        <c:ser>
          <c:idx val="1"/>
          <c:order val="1"/>
          <c:invertIfNegative val="0"/>
          <c:cat>
            <c:strRef>
              <c:f>'Bölüm 2'!$C$470:$C$477</c:f>
              <c:strCache>
                <c:ptCount val="8"/>
                <c:pt idx="0">
                  <c:v>0_5</c:v>
                </c:pt>
                <c:pt idx="1">
                  <c:v>5_10</c:v>
                </c:pt>
                <c:pt idx="2">
                  <c:v>10_15</c:v>
                </c:pt>
                <c:pt idx="3">
                  <c:v>15_20</c:v>
                </c:pt>
                <c:pt idx="4">
                  <c:v>20_25</c:v>
                </c:pt>
                <c:pt idx="5">
                  <c:v>25_30</c:v>
                </c:pt>
                <c:pt idx="6">
                  <c:v>30_35</c:v>
                </c:pt>
                <c:pt idx="7">
                  <c:v>35_40</c:v>
                </c:pt>
              </c:strCache>
            </c:strRef>
          </c:cat>
          <c:val>
            <c:numRef>
              <c:f>'Bölüm 2'!$E$470:$E$477</c:f>
              <c:numCache>
                <c:formatCode>General</c:formatCode>
                <c:ptCount val="8"/>
                <c:pt idx="0">
                  <c:v>0</c:v>
                </c:pt>
                <c:pt idx="1">
                  <c:v>2</c:v>
                </c:pt>
                <c:pt idx="2">
                  <c:v>16</c:v>
                </c:pt>
                <c:pt idx="3">
                  <c:v>9</c:v>
                </c:pt>
                <c:pt idx="4">
                  <c:v>11</c:v>
                </c:pt>
                <c:pt idx="5">
                  <c:v>5</c:v>
                </c:pt>
                <c:pt idx="6">
                  <c:v>5</c:v>
                </c:pt>
                <c:pt idx="7">
                  <c:v>2</c:v>
                </c:pt>
              </c:numCache>
            </c:numRef>
          </c:val>
          <c:extLst>
            <c:ext xmlns:c16="http://schemas.microsoft.com/office/drawing/2014/chart" uri="{C3380CC4-5D6E-409C-BE32-E72D297353CC}">
              <c16:uniqueId val="{00000001-6220-46DF-9447-ED667A4BEBB8}"/>
            </c:ext>
          </c:extLst>
        </c:ser>
        <c:dLbls>
          <c:showLegendKey val="0"/>
          <c:showVal val="0"/>
          <c:showCatName val="0"/>
          <c:showSerName val="0"/>
          <c:showPercent val="0"/>
          <c:showBubbleSize val="0"/>
        </c:dLbls>
        <c:gapWidth val="0"/>
        <c:overlap val="100"/>
        <c:axId val="36013952"/>
        <c:axId val="36015488"/>
      </c:barChart>
      <c:catAx>
        <c:axId val="36013952"/>
        <c:scaling>
          <c:orientation val="minMax"/>
        </c:scaling>
        <c:delete val="0"/>
        <c:axPos val="b"/>
        <c:numFmt formatCode="General" sourceLinked="0"/>
        <c:majorTickMark val="out"/>
        <c:minorTickMark val="none"/>
        <c:tickLblPos val="nextTo"/>
        <c:crossAx val="36015488"/>
        <c:crosses val="autoZero"/>
        <c:auto val="1"/>
        <c:lblAlgn val="ctr"/>
        <c:lblOffset val="100"/>
        <c:noMultiLvlLbl val="0"/>
      </c:catAx>
      <c:valAx>
        <c:axId val="36015488"/>
        <c:scaling>
          <c:orientation val="minMax"/>
        </c:scaling>
        <c:delete val="0"/>
        <c:axPos val="l"/>
        <c:majorGridlines/>
        <c:numFmt formatCode="General" sourceLinked="1"/>
        <c:majorTickMark val="out"/>
        <c:minorTickMark val="none"/>
        <c:tickLblPos val="nextTo"/>
        <c:crossAx val="36013952"/>
        <c:crosses val="autoZero"/>
        <c:crossBetween val="between"/>
      </c:valAx>
    </c:plotArea>
    <c:plotVisOnly val="1"/>
    <c:dispBlanksAs val="gap"/>
    <c:showDLblsOverMax val="0"/>
  </c:chart>
  <c:printSettings>
    <c:headerFooter/>
    <c:pageMargins b="0.75000000000000666" l="0.70000000000000062" r="0.70000000000000062" t="0.7500000000000066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5.8247594050743659E-2"/>
          <c:y val="0.15782407407407409"/>
          <c:w val="0.90286351706036749"/>
          <c:h val="0.72088764946048411"/>
        </c:manualLayout>
      </c:layout>
      <c:barChart>
        <c:barDir val="col"/>
        <c:grouping val="clustered"/>
        <c:varyColors val="0"/>
        <c:ser>
          <c:idx val="0"/>
          <c:order val="0"/>
          <c:spPr>
            <a:solidFill>
              <a:schemeClr val="accent1"/>
            </a:solidFill>
            <a:ln>
              <a:noFill/>
            </a:ln>
            <a:effectLst/>
          </c:spPr>
          <c:invertIfNegative val="0"/>
          <c:val>
            <c:numRef>
              <c:f>'Bölüm 2'!$E$399:$E$403</c:f>
              <c:numCache>
                <c:formatCode>General</c:formatCode>
                <c:ptCount val="5"/>
                <c:pt idx="0">
                  <c:v>4</c:v>
                </c:pt>
                <c:pt idx="1">
                  <c:v>11</c:v>
                </c:pt>
                <c:pt idx="2">
                  <c:v>21</c:v>
                </c:pt>
                <c:pt idx="3">
                  <c:v>32</c:v>
                </c:pt>
                <c:pt idx="4">
                  <c:v>40</c:v>
                </c:pt>
              </c:numCache>
            </c:numRef>
          </c:val>
          <c:extLst>
            <c:ext xmlns:c16="http://schemas.microsoft.com/office/drawing/2014/chart" uri="{C3380CC4-5D6E-409C-BE32-E72D297353CC}">
              <c16:uniqueId val="{00000000-921E-4798-8D94-C7C8641887E0}"/>
            </c:ext>
          </c:extLst>
        </c:ser>
        <c:dLbls>
          <c:showLegendKey val="0"/>
          <c:showVal val="0"/>
          <c:showCatName val="0"/>
          <c:showSerName val="0"/>
          <c:showPercent val="0"/>
          <c:showBubbleSize val="0"/>
        </c:dLbls>
        <c:gapWidth val="219"/>
        <c:overlap val="-27"/>
        <c:axId val="405476783"/>
        <c:axId val="411130047"/>
      </c:barChart>
      <c:catAx>
        <c:axId val="40547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1130047"/>
        <c:crosses val="autoZero"/>
        <c:auto val="1"/>
        <c:lblAlgn val="ctr"/>
        <c:lblOffset val="100"/>
        <c:noMultiLvlLbl val="0"/>
      </c:catAx>
      <c:valAx>
        <c:axId val="41113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476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spPr>
            <a:solidFill>
              <a:schemeClr val="accent1"/>
            </a:solidFill>
            <a:ln>
              <a:noFill/>
            </a:ln>
            <a:effectLst/>
          </c:spPr>
          <c:invertIfNegative val="0"/>
          <c:val>
            <c:numRef>
              <c:f>'Bölüm 2'!$D$399:$D$403</c:f>
              <c:numCache>
                <c:formatCode>General</c:formatCode>
                <c:ptCount val="5"/>
                <c:pt idx="0">
                  <c:v>4</c:v>
                </c:pt>
                <c:pt idx="1">
                  <c:v>7</c:v>
                </c:pt>
                <c:pt idx="2">
                  <c:v>10</c:v>
                </c:pt>
                <c:pt idx="3">
                  <c:v>11</c:v>
                </c:pt>
                <c:pt idx="4">
                  <c:v>8</c:v>
                </c:pt>
              </c:numCache>
            </c:numRef>
          </c:val>
          <c:extLst>
            <c:ext xmlns:c16="http://schemas.microsoft.com/office/drawing/2014/chart" uri="{C3380CC4-5D6E-409C-BE32-E72D297353CC}">
              <c16:uniqueId val="{00000000-8665-422E-B0D3-52F7F92BB76E}"/>
            </c:ext>
          </c:extLst>
        </c:ser>
        <c:dLbls>
          <c:showLegendKey val="0"/>
          <c:showVal val="0"/>
          <c:showCatName val="0"/>
          <c:showSerName val="0"/>
          <c:showPercent val="0"/>
          <c:showBubbleSize val="0"/>
        </c:dLbls>
        <c:gapWidth val="219"/>
        <c:overlap val="-27"/>
        <c:axId val="699102879"/>
        <c:axId val="411136287"/>
      </c:barChart>
      <c:catAx>
        <c:axId val="6991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1136287"/>
        <c:crosses val="autoZero"/>
        <c:auto val="1"/>
        <c:lblAlgn val="ctr"/>
        <c:lblOffset val="100"/>
        <c:noMultiLvlLbl val="0"/>
      </c:catAx>
      <c:valAx>
        <c:axId val="4111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9102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a:noFill/>
            </a:ln>
          </c:spPr>
          <c:invertIfNegative val="0"/>
          <c:cat>
            <c:strRef>
              <c:f>'Bölüm 4'!$A$3:$C$7</c:f>
              <c:strCache>
                <c:ptCount val="5"/>
                <c:pt idx="0">
                  <c:v>0</c:v>
                </c:pt>
                <c:pt idx="1">
                  <c:v>1</c:v>
                </c:pt>
                <c:pt idx="2">
                  <c:v>2</c:v>
                </c:pt>
                <c:pt idx="3">
                  <c:v>3</c:v>
                </c:pt>
                <c:pt idx="4">
                  <c:v>4</c:v>
                </c:pt>
              </c:strCache>
            </c:strRef>
          </c:cat>
          <c:val>
            <c:numRef>
              <c:f>'Bölüm 4'!$D$3:$D$7</c:f>
              <c:numCache>
                <c:formatCode>General</c:formatCode>
                <c:ptCount val="5"/>
                <c:pt idx="0">
                  <c:v>0.28000000000000003</c:v>
                </c:pt>
                <c:pt idx="1">
                  <c:v>0.36</c:v>
                </c:pt>
                <c:pt idx="2">
                  <c:v>0.23</c:v>
                </c:pt>
                <c:pt idx="3">
                  <c:v>0.09</c:v>
                </c:pt>
                <c:pt idx="4">
                  <c:v>0.04</c:v>
                </c:pt>
              </c:numCache>
            </c:numRef>
          </c:val>
          <c:extLst>
            <c:ext xmlns:c16="http://schemas.microsoft.com/office/drawing/2014/chart" uri="{C3380CC4-5D6E-409C-BE32-E72D297353CC}">
              <c16:uniqueId val="{00000000-E723-42C3-AB10-A1077032E50D}"/>
            </c:ext>
          </c:extLst>
        </c:ser>
        <c:ser>
          <c:idx val="1"/>
          <c:order val="1"/>
          <c:invertIfNegative val="0"/>
          <c:cat>
            <c:strRef>
              <c:f>'Bölüm 4'!$A$3:$C$7</c:f>
              <c:strCache>
                <c:ptCount val="5"/>
                <c:pt idx="0">
                  <c:v>0</c:v>
                </c:pt>
                <c:pt idx="1">
                  <c:v>1</c:v>
                </c:pt>
                <c:pt idx="2">
                  <c:v>2</c:v>
                </c:pt>
                <c:pt idx="3">
                  <c:v>3</c:v>
                </c:pt>
                <c:pt idx="4">
                  <c:v>4</c:v>
                </c:pt>
              </c:strCache>
            </c:strRef>
          </c:cat>
          <c:val>
            <c:numRef>
              <c:f>'Bölüm 4'!$E$3:$E$7</c:f>
              <c:numCache>
                <c:formatCode>General</c:formatCode>
                <c:ptCount val="5"/>
              </c:numCache>
            </c:numRef>
          </c:val>
          <c:extLst>
            <c:ext xmlns:c16="http://schemas.microsoft.com/office/drawing/2014/chart" uri="{C3380CC4-5D6E-409C-BE32-E72D297353CC}">
              <c16:uniqueId val="{00000001-E723-42C3-AB10-A1077032E50D}"/>
            </c:ext>
          </c:extLst>
        </c:ser>
        <c:dLbls>
          <c:showLegendKey val="0"/>
          <c:showVal val="0"/>
          <c:showCatName val="0"/>
          <c:showSerName val="0"/>
          <c:showPercent val="0"/>
          <c:showBubbleSize val="0"/>
        </c:dLbls>
        <c:gapWidth val="500"/>
        <c:overlap val="-100"/>
        <c:axId val="36212736"/>
        <c:axId val="36214272"/>
      </c:barChart>
      <c:catAx>
        <c:axId val="36212736"/>
        <c:scaling>
          <c:orientation val="minMax"/>
        </c:scaling>
        <c:delete val="0"/>
        <c:axPos val="b"/>
        <c:numFmt formatCode="General" sourceLinked="0"/>
        <c:majorTickMark val="out"/>
        <c:minorTickMark val="none"/>
        <c:tickLblPos val="nextTo"/>
        <c:crossAx val="36214272"/>
        <c:crosses val="autoZero"/>
        <c:auto val="1"/>
        <c:lblAlgn val="ctr"/>
        <c:lblOffset val="100"/>
        <c:noMultiLvlLbl val="0"/>
      </c:catAx>
      <c:valAx>
        <c:axId val="36214272"/>
        <c:scaling>
          <c:orientation val="minMax"/>
        </c:scaling>
        <c:delete val="0"/>
        <c:axPos val="l"/>
        <c:majorGridlines/>
        <c:numFmt formatCode="General" sourceLinked="1"/>
        <c:majorTickMark val="out"/>
        <c:minorTickMark val="none"/>
        <c:tickLblPos val="nextTo"/>
        <c:crossAx val="36212736"/>
        <c:crosses val="autoZero"/>
        <c:crossBetween val="between"/>
      </c:valAx>
    </c:plotArea>
    <c:plotVisOnly val="1"/>
    <c:dispBlanksAs val="gap"/>
    <c:showDLblsOverMax val="0"/>
  </c:chart>
  <c:printSettings>
    <c:headerFooter/>
    <c:pageMargins b="0.75000000000000611" l="0.70000000000000062" r="0.70000000000000062" t="0.75000000000000611"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97.png"/><Relationship Id="rId2" Type="http://schemas.openxmlformats.org/officeDocument/2006/relationships/image" Target="../media/image96.png"/><Relationship Id="rId1" Type="http://schemas.openxmlformats.org/officeDocument/2006/relationships/image" Target="../media/image95.png"/><Relationship Id="rId4" Type="http://schemas.openxmlformats.org/officeDocument/2006/relationships/image" Target="../media/image98.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06.png"/><Relationship Id="rId3" Type="http://schemas.openxmlformats.org/officeDocument/2006/relationships/image" Target="../media/image101.png"/><Relationship Id="rId7" Type="http://schemas.openxmlformats.org/officeDocument/2006/relationships/image" Target="../media/image105.png"/><Relationship Id="rId2" Type="http://schemas.openxmlformats.org/officeDocument/2006/relationships/image" Target="../media/image100.png"/><Relationship Id="rId1" Type="http://schemas.openxmlformats.org/officeDocument/2006/relationships/image" Target="../media/image99.png"/><Relationship Id="rId6" Type="http://schemas.openxmlformats.org/officeDocument/2006/relationships/image" Target="../media/image104.png"/><Relationship Id="rId5" Type="http://schemas.openxmlformats.org/officeDocument/2006/relationships/image" Target="../media/image103.png"/><Relationship Id="rId10" Type="http://schemas.openxmlformats.org/officeDocument/2006/relationships/image" Target="../media/image108.png"/><Relationship Id="rId4" Type="http://schemas.openxmlformats.org/officeDocument/2006/relationships/image" Target="../media/image102.png"/><Relationship Id="rId9" Type="http://schemas.openxmlformats.org/officeDocument/2006/relationships/image" Target="../media/image107.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_rels/drawing7.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41.png"/><Relationship Id="rId18" Type="http://schemas.openxmlformats.org/officeDocument/2006/relationships/image" Target="../media/image46.png"/><Relationship Id="rId3" Type="http://schemas.openxmlformats.org/officeDocument/2006/relationships/image" Target="../media/image32.png"/><Relationship Id="rId21" Type="http://schemas.openxmlformats.org/officeDocument/2006/relationships/image" Target="../media/image49.png"/><Relationship Id="rId7" Type="http://schemas.openxmlformats.org/officeDocument/2006/relationships/image" Target="../media/image36.png"/><Relationship Id="rId12" Type="http://schemas.openxmlformats.org/officeDocument/2006/relationships/image" Target="../media/image40.png"/><Relationship Id="rId17" Type="http://schemas.openxmlformats.org/officeDocument/2006/relationships/image" Target="../media/image45.png"/><Relationship Id="rId2" Type="http://schemas.openxmlformats.org/officeDocument/2006/relationships/image" Target="../media/image31.png"/><Relationship Id="rId16" Type="http://schemas.openxmlformats.org/officeDocument/2006/relationships/image" Target="../media/image44.png"/><Relationship Id="rId20" Type="http://schemas.openxmlformats.org/officeDocument/2006/relationships/image" Target="../media/image48.pn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39.png"/><Relationship Id="rId5" Type="http://schemas.openxmlformats.org/officeDocument/2006/relationships/image" Target="../media/image34.png"/><Relationship Id="rId15" Type="http://schemas.openxmlformats.org/officeDocument/2006/relationships/image" Target="../media/image43.png"/><Relationship Id="rId10" Type="http://schemas.openxmlformats.org/officeDocument/2006/relationships/image" Target="../media/image26.png"/><Relationship Id="rId19" Type="http://schemas.openxmlformats.org/officeDocument/2006/relationships/image" Target="../media/image47.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2.png"/><Relationship Id="rId22" Type="http://schemas.openxmlformats.org/officeDocument/2006/relationships/image" Target="../media/image50.png"/></Relationships>
</file>

<file path=xl/drawings/_rels/drawing8.xml.rels><?xml version="1.0" encoding="UTF-8" standalone="yes"?>
<Relationships xmlns="http://schemas.openxmlformats.org/package/2006/relationships"><Relationship Id="rId8" Type="http://schemas.openxmlformats.org/officeDocument/2006/relationships/image" Target="../media/image58.png"/><Relationship Id="rId3" Type="http://schemas.openxmlformats.org/officeDocument/2006/relationships/image" Target="../media/image53.png"/><Relationship Id="rId7" Type="http://schemas.openxmlformats.org/officeDocument/2006/relationships/image" Target="../media/image57.png"/><Relationship Id="rId2" Type="http://schemas.openxmlformats.org/officeDocument/2006/relationships/image" Target="../media/image52.png"/><Relationship Id="rId1" Type="http://schemas.openxmlformats.org/officeDocument/2006/relationships/image" Target="../media/image51.png"/><Relationship Id="rId6" Type="http://schemas.openxmlformats.org/officeDocument/2006/relationships/image" Target="../media/image56.png"/><Relationship Id="rId5" Type="http://schemas.openxmlformats.org/officeDocument/2006/relationships/image" Target="../media/image55.png"/><Relationship Id="rId4" Type="http://schemas.openxmlformats.org/officeDocument/2006/relationships/image" Target="../media/image54.png"/></Relationships>
</file>

<file path=xl/drawings/_rels/drawing9.xml.rels><?xml version="1.0" encoding="UTF-8" standalone="yes"?>
<Relationships xmlns="http://schemas.openxmlformats.org/package/2006/relationships"><Relationship Id="rId13" Type="http://schemas.openxmlformats.org/officeDocument/2006/relationships/image" Target="../media/image71.png"/><Relationship Id="rId18" Type="http://schemas.openxmlformats.org/officeDocument/2006/relationships/image" Target="../media/image76.png"/><Relationship Id="rId26" Type="http://schemas.openxmlformats.org/officeDocument/2006/relationships/image" Target="../media/image84.png"/><Relationship Id="rId3" Type="http://schemas.openxmlformats.org/officeDocument/2006/relationships/image" Target="../media/image61.png"/><Relationship Id="rId21" Type="http://schemas.openxmlformats.org/officeDocument/2006/relationships/image" Target="../media/image79.png"/><Relationship Id="rId34" Type="http://schemas.openxmlformats.org/officeDocument/2006/relationships/image" Target="../media/image92.png"/><Relationship Id="rId7" Type="http://schemas.openxmlformats.org/officeDocument/2006/relationships/image" Target="../media/image65.png"/><Relationship Id="rId12" Type="http://schemas.openxmlformats.org/officeDocument/2006/relationships/image" Target="../media/image70.png"/><Relationship Id="rId17" Type="http://schemas.openxmlformats.org/officeDocument/2006/relationships/image" Target="../media/image75.png"/><Relationship Id="rId25" Type="http://schemas.openxmlformats.org/officeDocument/2006/relationships/image" Target="../media/image83.png"/><Relationship Id="rId33" Type="http://schemas.openxmlformats.org/officeDocument/2006/relationships/image" Target="../media/image91.png"/><Relationship Id="rId2" Type="http://schemas.openxmlformats.org/officeDocument/2006/relationships/image" Target="../media/image60.png"/><Relationship Id="rId16" Type="http://schemas.openxmlformats.org/officeDocument/2006/relationships/image" Target="../media/image74.png"/><Relationship Id="rId20" Type="http://schemas.openxmlformats.org/officeDocument/2006/relationships/image" Target="../media/image78.png"/><Relationship Id="rId29" Type="http://schemas.openxmlformats.org/officeDocument/2006/relationships/image" Target="../media/image87.png"/><Relationship Id="rId1" Type="http://schemas.openxmlformats.org/officeDocument/2006/relationships/image" Target="../media/image59.png"/><Relationship Id="rId6" Type="http://schemas.openxmlformats.org/officeDocument/2006/relationships/image" Target="../media/image64.png"/><Relationship Id="rId11" Type="http://schemas.openxmlformats.org/officeDocument/2006/relationships/image" Target="../media/image69.png"/><Relationship Id="rId24" Type="http://schemas.openxmlformats.org/officeDocument/2006/relationships/image" Target="../media/image82.png"/><Relationship Id="rId32" Type="http://schemas.openxmlformats.org/officeDocument/2006/relationships/image" Target="../media/image90.png"/><Relationship Id="rId5" Type="http://schemas.openxmlformats.org/officeDocument/2006/relationships/image" Target="../media/image63.png"/><Relationship Id="rId15" Type="http://schemas.openxmlformats.org/officeDocument/2006/relationships/image" Target="../media/image73.png"/><Relationship Id="rId23" Type="http://schemas.openxmlformats.org/officeDocument/2006/relationships/image" Target="../media/image81.png"/><Relationship Id="rId28" Type="http://schemas.openxmlformats.org/officeDocument/2006/relationships/image" Target="../media/image86.png"/><Relationship Id="rId36" Type="http://schemas.openxmlformats.org/officeDocument/2006/relationships/image" Target="../media/image94.png"/><Relationship Id="rId10" Type="http://schemas.openxmlformats.org/officeDocument/2006/relationships/image" Target="../media/image68.png"/><Relationship Id="rId19" Type="http://schemas.openxmlformats.org/officeDocument/2006/relationships/image" Target="../media/image77.png"/><Relationship Id="rId31" Type="http://schemas.openxmlformats.org/officeDocument/2006/relationships/image" Target="../media/image89.png"/><Relationship Id="rId4" Type="http://schemas.openxmlformats.org/officeDocument/2006/relationships/image" Target="../media/image62.png"/><Relationship Id="rId9" Type="http://schemas.openxmlformats.org/officeDocument/2006/relationships/image" Target="../media/image67.png"/><Relationship Id="rId14" Type="http://schemas.openxmlformats.org/officeDocument/2006/relationships/image" Target="../media/image72.png"/><Relationship Id="rId22" Type="http://schemas.openxmlformats.org/officeDocument/2006/relationships/image" Target="../media/image80.png"/><Relationship Id="rId27" Type="http://schemas.openxmlformats.org/officeDocument/2006/relationships/image" Target="../media/image85.png"/><Relationship Id="rId30" Type="http://schemas.openxmlformats.org/officeDocument/2006/relationships/image" Target="../media/image88.png"/><Relationship Id="rId35" Type="http://schemas.openxmlformats.org/officeDocument/2006/relationships/image" Target="../media/image93.png"/><Relationship Id="rId8"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twoCellAnchor>
    <xdr:from>
      <xdr:col>8</xdr:col>
      <xdr:colOff>5832</xdr:colOff>
      <xdr:row>441</xdr:row>
      <xdr:rowOff>166446</xdr:rowOff>
    </xdr:from>
    <xdr:to>
      <xdr:col>8</xdr:col>
      <xdr:colOff>7420</xdr:colOff>
      <xdr:row>447</xdr:row>
      <xdr:rowOff>794</xdr:rowOff>
    </xdr:to>
    <xdr:cxnSp macro="">
      <xdr:nvCxnSpPr>
        <xdr:cNvPr id="6" name="5 Düz Ok Bağlayıcısı">
          <a:extLst>
            <a:ext uri="{FF2B5EF4-FFF2-40B4-BE49-F238E27FC236}">
              <a16:creationId xmlns:a16="http://schemas.microsoft.com/office/drawing/2014/main" id="{00000000-0008-0000-0000-000006000000}"/>
            </a:ext>
          </a:extLst>
        </xdr:cNvPr>
        <xdr:cNvCxnSpPr/>
      </xdr:nvCxnSpPr>
      <xdr:spPr>
        <a:xfrm rot="5400000" flipH="1" flipV="1">
          <a:off x="5410200" y="99069939"/>
          <a:ext cx="8680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452</xdr:row>
      <xdr:rowOff>0</xdr:rowOff>
    </xdr:from>
    <xdr:to>
      <xdr:col>15</xdr:col>
      <xdr:colOff>33130</xdr:colOff>
      <xdr:row>452</xdr:row>
      <xdr:rowOff>13252</xdr:rowOff>
    </xdr:to>
    <xdr:cxnSp macro="">
      <xdr:nvCxnSpPr>
        <xdr:cNvPr id="7" name="6 Düz Ok Bağlayıcısı">
          <a:extLst>
            <a:ext uri="{FF2B5EF4-FFF2-40B4-BE49-F238E27FC236}">
              <a16:creationId xmlns:a16="http://schemas.microsoft.com/office/drawing/2014/main" id="{00000000-0008-0000-0000-000007000000}"/>
            </a:ext>
          </a:extLst>
        </xdr:cNvPr>
        <xdr:cNvCxnSpPr/>
      </xdr:nvCxnSpPr>
      <xdr:spPr>
        <a:xfrm flipV="1">
          <a:off x="10429461" y="100365339"/>
          <a:ext cx="642730" cy="132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31143</xdr:colOff>
      <xdr:row>604</xdr:row>
      <xdr:rowOff>45388</xdr:rowOff>
    </xdr:from>
    <xdr:to>
      <xdr:col>2</xdr:col>
      <xdr:colOff>22861</xdr:colOff>
      <xdr:row>614</xdr:row>
      <xdr:rowOff>105023</xdr:rowOff>
    </xdr:to>
    <xdr:graphicFrame macro="">
      <xdr:nvGraphicFramePr>
        <xdr:cNvPr id="9" name="8 Grafik">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604</xdr:row>
      <xdr:rowOff>15240</xdr:rowOff>
    </xdr:from>
    <xdr:to>
      <xdr:col>6</xdr:col>
      <xdr:colOff>586740</xdr:colOff>
      <xdr:row>613</xdr:row>
      <xdr:rowOff>144780</xdr:rowOff>
    </xdr:to>
    <xdr:graphicFrame macro="">
      <xdr:nvGraphicFramePr>
        <xdr:cNvPr id="11" name="10 Grafik">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6627</xdr:colOff>
      <xdr:row>638</xdr:row>
      <xdr:rowOff>19878</xdr:rowOff>
    </xdr:from>
    <xdr:to>
      <xdr:col>2</xdr:col>
      <xdr:colOff>13252</xdr:colOff>
      <xdr:row>647</xdr:row>
      <xdr:rowOff>15240</xdr:rowOff>
    </xdr:to>
    <xdr:graphicFrame macro="">
      <xdr:nvGraphicFramePr>
        <xdr:cNvPr id="12" name="11 Grafik">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667</xdr:row>
      <xdr:rowOff>22860</xdr:rowOff>
    </xdr:from>
    <xdr:to>
      <xdr:col>1</xdr:col>
      <xdr:colOff>914400</xdr:colOff>
      <xdr:row>675</xdr:row>
      <xdr:rowOff>160020</xdr:rowOff>
    </xdr:to>
    <xdr:graphicFrame macro="">
      <xdr:nvGraphicFramePr>
        <xdr:cNvPr id="13" name="12 Grafik">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691</xdr:row>
      <xdr:rowOff>15240</xdr:rowOff>
    </xdr:from>
    <xdr:to>
      <xdr:col>2</xdr:col>
      <xdr:colOff>701040</xdr:colOff>
      <xdr:row>699</xdr:row>
      <xdr:rowOff>91440</xdr:rowOff>
    </xdr:to>
    <xdr:graphicFrame macro="">
      <xdr:nvGraphicFramePr>
        <xdr:cNvPr id="21" name="20 Grafik">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232117</xdr:colOff>
      <xdr:row>482</xdr:row>
      <xdr:rowOff>42789</xdr:rowOff>
    </xdr:from>
    <xdr:to>
      <xdr:col>9</xdr:col>
      <xdr:colOff>277250</xdr:colOff>
      <xdr:row>493</xdr:row>
      <xdr:rowOff>134229</xdr:rowOff>
    </xdr:to>
    <xdr:graphicFrame macro="">
      <xdr:nvGraphicFramePr>
        <xdr:cNvPr id="22" name="21 Grafik">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577361</xdr:colOff>
      <xdr:row>409</xdr:row>
      <xdr:rowOff>76200</xdr:rowOff>
    </xdr:from>
    <xdr:to>
      <xdr:col>10</xdr:col>
      <xdr:colOff>545123</xdr:colOff>
      <xdr:row>422</xdr:row>
      <xdr:rowOff>140677</xdr:rowOff>
    </xdr:to>
    <xdr:graphicFrame macro="">
      <xdr:nvGraphicFramePr>
        <xdr:cNvPr id="4" name="Grafik 3">
          <a:extLst>
            <a:ext uri="{FF2B5EF4-FFF2-40B4-BE49-F238E27FC236}">
              <a16:creationId xmlns:a16="http://schemas.microsoft.com/office/drawing/2014/main" id="{F371AC1E-74F8-EE31-9E66-9A52834D7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188648</xdr:colOff>
      <xdr:row>397</xdr:row>
      <xdr:rowOff>443318</xdr:rowOff>
    </xdr:from>
    <xdr:to>
      <xdr:col>10</xdr:col>
      <xdr:colOff>156410</xdr:colOff>
      <xdr:row>407</xdr:row>
      <xdr:rowOff>38871</xdr:rowOff>
    </xdr:to>
    <xdr:graphicFrame macro="">
      <xdr:nvGraphicFramePr>
        <xdr:cNvPr id="5" name="Grafik 4">
          <a:extLst>
            <a:ext uri="{FF2B5EF4-FFF2-40B4-BE49-F238E27FC236}">
              <a16:creationId xmlns:a16="http://schemas.microsoft.com/office/drawing/2014/main" id="{A3EC4207-2D85-6C6C-8690-E7543C63E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523875</xdr:colOff>
      <xdr:row>2</xdr:row>
      <xdr:rowOff>19050</xdr:rowOff>
    </xdr:to>
    <xdr:pic>
      <xdr:nvPicPr>
        <xdr:cNvPr id="2053" name="Picture 5">
          <a:extLst>
            <a:ext uri="{FF2B5EF4-FFF2-40B4-BE49-F238E27FC236}">
              <a16:creationId xmlns:a16="http://schemas.microsoft.com/office/drawing/2014/main" id="{00000000-0008-0000-0A00-00000508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3609975" y="247650"/>
          <a:ext cx="523875" cy="209550"/>
        </a:xfrm>
        <a:prstGeom prst="rect">
          <a:avLst/>
        </a:prstGeom>
        <a:noFill/>
      </xdr:spPr>
    </xdr:pic>
    <xdr:clientData/>
  </xdr:twoCellAnchor>
  <xdr:twoCellAnchor>
    <xdr:from>
      <xdr:col>15</xdr:col>
      <xdr:colOff>109904</xdr:colOff>
      <xdr:row>1</xdr:row>
      <xdr:rowOff>0</xdr:rowOff>
    </xdr:from>
    <xdr:to>
      <xdr:col>15</xdr:col>
      <xdr:colOff>509954</xdr:colOff>
      <xdr:row>2</xdr:row>
      <xdr:rowOff>19050</xdr:rowOff>
    </xdr:to>
    <xdr:pic>
      <xdr:nvPicPr>
        <xdr:cNvPr id="2054" name="Picture 6">
          <a:extLst>
            <a:ext uri="{FF2B5EF4-FFF2-40B4-BE49-F238E27FC236}">
              <a16:creationId xmlns:a16="http://schemas.microsoft.com/office/drawing/2014/main" id="{00000000-0008-0000-0A00-000006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4388827" y="249115"/>
          <a:ext cx="400050" cy="209550"/>
        </a:xfrm>
        <a:prstGeom prst="rect">
          <a:avLst/>
        </a:prstGeom>
        <a:noFill/>
      </xdr:spPr>
    </xdr:pic>
    <xdr:clientData/>
  </xdr:twoCellAnchor>
  <xdr:twoCellAnchor>
    <xdr:from>
      <xdr:col>16</xdr:col>
      <xdr:colOff>29308</xdr:colOff>
      <xdr:row>1</xdr:row>
      <xdr:rowOff>29308</xdr:rowOff>
    </xdr:from>
    <xdr:to>
      <xdr:col>17</xdr:col>
      <xdr:colOff>36634</xdr:colOff>
      <xdr:row>2</xdr:row>
      <xdr:rowOff>48358</xdr:rowOff>
    </xdr:to>
    <xdr:pic>
      <xdr:nvPicPr>
        <xdr:cNvPr id="2055" name="Picture 7">
          <a:extLst>
            <a:ext uri="{FF2B5EF4-FFF2-40B4-BE49-F238E27FC236}">
              <a16:creationId xmlns:a16="http://schemas.microsoft.com/office/drawing/2014/main" id="{00000000-0008-0000-0A00-000007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4996962" y="278423"/>
          <a:ext cx="703384" cy="209550"/>
        </a:xfrm>
        <a:prstGeom prst="rect">
          <a:avLst/>
        </a:prstGeom>
        <a:noFill/>
      </xdr:spPr>
    </xdr:pic>
    <xdr:clientData/>
  </xdr:twoCellAnchor>
  <xdr:twoCellAnchor>
    <xdr:from>
      <xdr:col>17</xdr:col>
      <xdr:colOff>73269</xdr:colOff>
      <xdr:row>1</xdr:row>
      <xdr:rowOff>0</xdr:rowOff>
    </xdr:from>
    <xdr:to>
      <xdr:col>18</xdr:col>
      <xdr:colOff>25644</xdr:colOff>
      <xdr:row>2</xdr:row>
      <xdr:rowOff>19050</xdr:rowOff>
    </xdr:to>
    <xdr:pic>
      <xdr:nvPicPr>
        <xdr:cNvPr id="2056" name="Picture 8">
          <a:extLst>
            <a:ext uri="{FF2B5EF4-FFF2-40B4-BE49-F238E27FC236}">
              <a16:creationId xmlns:a16="http://schemas.microsoft.com/office/drawing/2014/main" id="{00000000-0008-0000-0A00-00000808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5736981" y="249115"/>
          <a:ext cx="714375" cy="20955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11</xdr:row>
      <xdr:rowOff>0</xdr:rowOff>
    </xdr:from>
    <xdr:to>
      <xdr:col>2</xdr:col>
      <xdr:colOff>295275</xdr:colOff>
      <xdr:row>13</xdr:row>
      <xdr:rowOff>142875</xdr:rowOff>
    </xdr:to>
    <xdr:pic>
      <xdr:nvPicPr>
        <xdr:cNvPr id="2051" name="Picture 3">
          <a:extLst>
            <a:ext uri="{FF2B5EF4-FFF2-40B4-BE49-F238E27FC236}">
              <a16:creationId xmlns:a16="http://schemas.microsoft.com/office/drawing/2014/main" id="{00000000-0008-0000-0C00-00000308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9050" y="1847850"/>
          <a:ext cx="1676400" cy="542925"/>
        </a:xfrm>
        <a:prstGeom prst="rect">
          <a:avLst/>
        </a:prstGeom>
        <a:noFill/>
      </xdr:spPr>
    </xdr:pic>
    <xdr:clientData/>
  </xdr:twoCellAnchor>
  <xdr:twoCellAnchor>
    <xdr:from>
      <xdr:col>0</xdr:col>
      <xdr:colOff>28575</xdr:colOff>
      <xdr:row>14</xdr:row>
      <xdr:rowOff>19050</xdr:rowOff>
    </xdr:from>
    <xdr:to>
      <xdr:col>2</xdr:col>
      <xdr:colOff>219075</xdr:colOff>
      <xdr:row>16</xdr:row>
      <xdr:rowOff>152400</xdr:rowOff>
    </xdr:to>
    <xdr:pic>
      <xdr:nvPicPr>
        <xdr:cNvPr id="2050" name="Picture 2">
          <a:extLst>
            <a:ext uri="{FF2B5EF4-FFF2-40B4-BE49-F238E27FC236}">
              <a16:creationId xmlns:a16="http://schemas.microsoft.com/office/drawing/2014/main" id="{00000000-0008-0000-0C00-000002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28575" y="2495550"/>
          <a:ext cx="1590675" cy="542925"/>
        </a:xfrm>
        <a:prstGeom prst="rect">
          <a:avLst/>
        </a:prstGeom>
        <a:noFill/>
      </xdr:spPr>
    </xdr:pic>
    <xdr:clientData/>
  </xdr:twoCellAnchor>
  <xdr:twoCellAnchor>
    <xdr:from>
      <xdr:col>0</xdr:col>
      <xdr:colOff>19050</xdr:colOff>
      <xdr:row>16</xdr:row>
      <xdr:rowOff>152400</xdr:rowOff>
    </xdr:from>
    <xdr:to>
      <xdr:col>2</xdr:col>
      <xdr:colOff>200025</xdr:colOff>
      <xdr:row>19</xdr:row>
      <xdr:rowOff>123825</xdr:rowOff>
    </xdr:to>
    <xdr:pic>
      <xdr:nvPicPr>
        <xdr:cNvPr id="2049" name="Picture 1">
          <a:extLst>
            <a:ext uri="{FF2B5EF4-FFF2-40B4-BE49-F238E27FC236}">
              <a16:creationId xmlns:a16="http://schemas.microsoft.com/office/drawing/2014/main" id="{00000000-0008-0000-0C00-000001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19050" y="3038475"/>
          <a:ext cx="1581150" cy="571500"/>
        </a:xfrm>
        <a:prstGeom prst="rect">
          <a:avLst/>
        </a:prstGeom>
        <a:noFill/>
      </xdr:spPr>
    </xdr:pic>
    <xdr:clientData/>
  </xdr:twoCellAnchor>
  <xdr:twoCellAnchor>
    <xdr:from>
      <xdr:col>5</xdr:col>
      <xdr:colOff>819152</xdr:colOff>
      <xdr:row>1</xdr:row>
      <xdr:rowOff>180976</xdr:rowOff>
    </xdr:from>
    <xdr:to>
      <xdr:col>7</xdr:col>
      <xdr:colOff>161924</xdr:colOff>
      <xdr:row>1</xdr:row>
      <xdr:rowOff>590550</xdr:rowOff>
    </xdr:to>
    <xdr:pic>
      <xdr:nvPicPr>
        <xdr:cNvPr id="2052" name="Picture 4">
          <a:extLst>
            <a:ext uri="{FF2B5EF4-FFF2-40B4-BE49-F238E27FC236}">
              <a16:creationId xmlns:a16="http://schemas.microsoft.com/office/drawing/2014/main" id="{00000000-0008-0000-0C00-00000408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4552952" y="428626"/>
          <a:ext cx="895347" cy="409574"/>
        </a:xfrm>
        <a:prstGeom prst="rect">
          <a:avLst/>
        </a:prstGeom>
        <a:noFill/>
      </xdr:spPr>
    </xdr:pic>
    <xdr:clientData/>
  </xdr:twoCellAnchor>
  <xdr:twoCellAnchor>
    <xdr:from>
      <xdr:col>8</xdr:col>
      <xdr:colOff>47624</xdr:colOff>
      <xdr:row>1</xdr:row>
      <xdr:rowOff>247650</xdr:rowOff>
    </xdr:from>
    <xdr:to>
      <xdr:col>8</xdr:col>
      <xdr:colOff>858115</xdr:colOff>
      <xdr:row>1</xdr:row>
      <xdr:rowOff>533400</xdr:rowOff>
    </xdr:to>
    <xdr:pic>
      <xdr:nvPicPr>
        <xdr:cNvPr id="2053" name="Picture 5">
          <a:extLst>
            <a:ext uri="{FF2B5EF4-FFF2-40B4-BE49-F238E27FC236}">
              <a16:creationId xmlns:a16="http://schemas.microsoft.com/office/drawing/2014/main" id="{00000000-0008-0000-0C00-00000508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5943599" y="495300"/>
          <a:ext cx="810491" cy="285750"/>
        </a:xfrm>
        <a:prstGeom prst="rect">
          <a:avLst/>
        </a:prstGeom>
        <a:noFill/>
      </xdr:spPr>
    </xdr:pic>
    <xdr:clientData/>
  </xdr:twoCellAnchor>
  <xdr:twoCellAnchor>
    <xdr:from>
      <xdr:col>9</xdr:col>
      <xdr:colOff>552450</xdr:colOff>
      <xdr:row>1</xdr:row>
      <xdr:rowOff>228600</xdr:rowOff>
    </xdr:from>
    <xdr:to>
      <xdr:col>10</xdr:col>
      <xdr:colOff>581025</xdr:colOff>
      <xdr:row>1</xdr:row>
      <xdr:rowOff>457200</xdr:rowOff>
    </xdr:to>
    <xdr:pic>
      <xdr:nvPicPr>
        <xdr:cNvPr id="2054" name="Picture 6">
          <a:extLst>
            <a:ext uri="{FF2B5EF4-FFF2-40B4-BE49-F238E27FC236}">
              <a16:creationId xmlns:a16="http://schemas.microsoft.com/office/drawing/2014/main" id="{00000000-0008-0000-0C00-00000608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7324725" y="476250"/>
          <a:ext cx="638175" cy="228600"/>
        </a:xfrm>
        <a:prstGeom prst="rect">
          <a:avLst/>
        </a:prstGeom>
        <a:noFill/>
      </xdr:spPr>
    </xdr:pic>
    <xdr:clientData/>
  </xdr:twoCellAnchor>
  <xdr:twoCellAnchor>
    <xdr:from>
      <xdr:col>6</xdr:col>
      <xdr:colOff>0</xdr:colOff>
      <xdr:row>12</xdr:row>
      <xdr:rowOff>0</xdr:rowOff>
    </xdr:from>
    <xdr:to>
      <xdr:col>8</xdr:col>
      <xdr:colOff>161925</xdr:colOff>
      <xdr:row>13</xdr:row>
      <xdr:rowOff>0</xdr:rowOff>
    </xdr:to>
    <xdr:pic>
      <xdr:nvPicPr>
        <xdr:cNvPr id="2057" name="Picture 9">
          <a:extLst>
            <a:ext uri="{FF2B5EF4-FFF2-40B4-BE49-F238E27FC236}">
              <a16:creationId xmlns:a16="http://schemas.microsoft.com/office/drawing/2014/main" id="{00000000-0008-0000-0C00-00000908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4610100" y="3238500"/>
          <a:ext cx="1447800" cy="209550"/>
        </a:xfrm>
        <a:prstGeom prst="rect">
          <a:avLst/>
        </a:prstGeom>
        <a:noFill/>
      </xdr:spPr>
    </xdr:pic>
    <xdr:clientData/>
  </xdr:twoCellAnchor>
  <xdr:twoCellAnchor>
    <xdr:from>
      <xdr:col>6</xdr:col>
      <xdr:colOff>0</xdr:colOff>
      <xdr:row>13</xdr:row>
      <xdr:rowOff>0</xdr:rowOff>
    </xdr:from>
    <xdr:to>
      <xdr:col>8</xdr:col>
      <xdr:colOff>152400</xdr:colOff>
      <xdr:row>14</xdr:row>
      <xdr:rowOff>0</xdr:rowOff>
    </xdr:to>
    <xdr:pic>
      <xdr:nvPicPr>
        <xdr:cNvPr id="2056" name="Picture 8">
          <a:extLst>
            <a:ext uri="{FF2B5EF4-FFF2-40B4-BE49-F238E27FC236}">
              <a16:creationId xmlns:a16="http://schemas.microsoft.com/office/drawing/2014/main" id="{00000000-0008-0000-0C00-000008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4610100" y="3448050"/>
          <a:ext cx="1438275" cy="209550"/>
        </a:xfrm>
        <a:prstGeom prst="rect">
          <a:avLst/>
        </a:prstGeom>
        <a:noFill/>
      </xdr:spPr>
    </xdr:pic>
    <xdr:clientData/>
  </xdr:twoCellAnchor>
  <xdr:twoCellAnchor>
    <xdr:from>
      <xdr:col>6</xdr:col>
      <xdr:colOff>0</xdr:colOff>
      <xdr:row>14</xdr:row>
      <xdr:rowOff>0</xdr:rowOff>
    </xdr:from>
    <xdr:to>
      <xdr:col>9</xdr:col>
      <xdr:colOff>180975</xdr:colOff>
      <xdr:row>15</xdr:row>
      <xdr:rowOff>190500</xdr:rowOff>
    </xdr:to>
    <xdr:pic>
      <xdr:nvPicPr>
        <xdr:cNvPr id="2055" name="Picture 7">
          <a:extLst>
            <a:ext uri="{FF2B5EF4-FFF2-40B4-BE49-F238E27FC236}">
              <a16:creationId xmlns:a16="http://schemas.microsoft.com/office/drawing/2014/main" id="{00000000-0008-0000-0C00-00000708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610100" y="3657600"/>
          <a:ext cx="2343150" cy="400050"/>
        </a:xfrm>
        <a:prstGeom prst="rect">
          <a:avLst/>
        </a:prstGeom>
        <a:noFill/>
      </xdr:spPr>
    </xdr:pic>
    <xdr:clientData/>
  </xdr:twoCellAnchor>
  <xdr:twoCellAnchor>
    <xdr:from>
      <xdr:col>8</xdr:col>
      <xdr:colOff>66675</xdr:colOff>
      <xdr:row>18</xdr:row>
      <xdr:rowOff>95250</xdr:rowOff>
    </xdr:from>
    <xdr:to>
      <xdr:col>9</xdr:col>
      <xdr:colOff>180975</xdr:colOff>
      <xdr:row>20</xdr:row>
      <xdr:rowOff>85725</xdr:rowOff>
    </xdr:to>
    <xdr:pic>
      <xdr:nvPicPr>
        <xdr:cNvPr id="2058" name="Picture 10">
          <a:extLst>
            <a:ext uri="{FF2B5EF4-FFF2-40B4-BE49-F238E27FC236}">
              <a16:creationId xmlns:a16="http://schemas.microsoft.com/office/drawing/2014/main" id="{00000000-0008-0000-0C00-00000A08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5962650" y="4524375"/>
          <a:ext cx="990600" cy="390525"/>
        </a:xfrm>
        <a:prstGeom prst="rect">
          <a:avLst/>
        </a:prstGeom>
        <a:noFill/>
      </xdr:spPr>
    </xdr:pic>
    <xdr:clientData/>
  </xdr:twoCellAnchor>
  <xdr:twoCellAnchor>
    <xdr:from>
      <xdr:col>5</xdr:col>
      <xdr:colOff>825828</xdr:colOff>
      <xdr:row>20</xdr:row>
      <xdr:rowOff>85725</xdr:rowOff>
    </xdr:from>
    <xdr:to>
      <xdr:col>6</xdr:col>
      <xdr:colOff>672468</xdr:colOff>
      <xdr:row>22</xdr:row>
      <xdr:rowOff>38100</xdr:rowOff>
    </xdr:to>
    <xdr:pic>
      <xdr:nvPicPr>
        <xdr:cNvPr id="12" name="Picture 7">
          <a:extLst>
            <a:ext uri="{FF2B5EF4-FFF2-40B4-BE49-F238E27FC236}">
              <a16:creationId xmlns:a16="http://schemas.microsoft.com/office/drawing/2014/main" id="{00000000-0008-0000-0C00-00000C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l="23049" r="46098"/>
        <a:stretch>
          <a:fillRect/>
        </a:stretch>
      </xdr:blipFill>
      <xdr:spPr bwMode="auto">
        <a:xfrm>
          <a:off x="4940628" y="4914900"/>
          <a:ext cx="722940" cy="390525"/>
        </a:xfrm>
        <a:prstGeom prst="rect">
          <a:avLst/>
        </a:prstGeom>
        <a:noFill/>
      </xdr:spPr>
    </xdr:pic>
    <xdr:clientData/>
  </xdr:twoCellAnchor>
  <xdr:twoCellAnchor>
    <xdr:from>
      <xdr:col>0</xdr:col>
      <xdr:colOff>19050</xdr:colOff>
      <xdr:row>44</xdr:row>
      <xdr:rowOff>0</xdr:rowOff>
    </xdr:from>
    <xdr:to>
      <xdr:col>2</xdr:col>
      <xdr:colOff>295275</xdr:colOff>
      <xdr:row>46</xdr:row>
      <xdr:rowOff>142875</xdr:rowOff>
    </xdr:to>
    <xdr:pic>
      <xdr:nvPicPr>
        <xdr:cNvPr id="13" name="Picture 3">
          <a:extLst>
            <a:ext uri="{FF2B5EF4-FFF2-40B4-BE49-F238E27FC236}">
              <a16:creationId xmlns:a16="http://schemas.microsoft.com/office/drawing/2014/main" id="{00000000-0008-0000-0C00-00000D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9050" y="3028950"/>
          <a:ext cx="1933575" cy="542925"/>
        </a:xfrm>
        <a:prstGeom prst="rect">
          <a:avLst/>
        </a:prstGeom>
        <a:noFill/>
      </xdr:spPr>
    </xdr:pic>
    <xdr:clientData/>
  </xdr:twoCellAnchor>
  <xdr:twoCellAnchor>
    <xdr:from>
      <xdr:col>0</xdr:col>
      <xdr:colOff>28575</xdr:colOff>
      <xdr:row>47</xdr:row>
      <xdr:rowOff>19050</xdr:rowOff>
    </xdr:from>
    <xdr:to>
      <xdr:col>2</xdr:col>
      <xdr:colOff>219075</xdr:colOff>
      <xdr:row>49</xdr:row>
      <xdr:rowOff>152400</xdr:rowOff>
    </xdr:to>
    <xdr:pic>
      <xdr:nvPicPr>
        <xdr:cNvPr id="14" name="Picture 2">
          <a:extLst>
            <a:ext uri="{FF2B5EF4-FFF2-40B4-BE49-F238E27FC236}">
              <a16:creationId xmlns:a16="http://schemas.microsoft.com/office/drawing/2014/main" id="{00000000-0008-0000-0C00-00000E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28575" y="3648075"/>
          <a:ext cx="1847850" cy="533400"/>
        </a:xfrm>
        <a:prstGeom prst="rect">
          <a:avLst/>
        </a:prstGeom>
        <a:noFill/>
      </xdr:spPr>
    </xdr:pic>
    <xdr:clientData/>
  </xdr:twoCellAnchor>
  <xdr:twoCellAnchor>
    <xdr:from>
      <xdr:col>0</xdr:col>
      <xdr:colOff>19050</xdr:colOff>
      <xdr:row>49</xdr:row>
      <xdr:rowOff>152400</xdr:rowOff>
    </xdr:from>
    <xdr:to>
      <xdr:col>2</xdr:col>
      <xdr:colOff>200025</xdr:colOff>
      <xdr:row>52</xdr:row>
      <xdr:rowOff>123825</xdr:rowOff>
    </xdr:to>
    <xdr:pic>
      <xdr:nvPicPr>
        <xdr:cNvPr id="15" name="Picture 1">
          <a:extLst>
            <a:ext uri="{FF2B5EF4-FFF2-40B4-BE49-F238E27FC236}">
              <a16:creationId xmlns:a16="http://schemas.microsoft.com/office/drawing/2014/main" id="{00000000-0008-0000-0C00-00000F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19050" y="4181475"/>
          <a:ext cx="1838325" cy="571500"/>
        </a:xfrm>
        <a:prstGeom prst="rect">
          <a:avLst/>
        </a:prstGeom>
        <a:noFill/>
      </xdr:spPr>
    </xdr:pic>
    <xdr:clientData/>
  </xdr:twoCellAnchor>
  <xdr:twoCellAnchor>
    <xdr:from>
      <xdr:col>7</xdr:col>
      <xdr:colOff>561977</xdr:colOff>
      <xdr:row>34</xdr:row>
      <xdr:rowOff>142876</xdr:rowOff>
    </xdr:from>
    <xdr:to>
      <xdr:col>8</xdr:col>
      <xdr:colOff>723899</xdr:colOff>
      <xdr:row>34</xdr:row>
      <xdr:rowOff>552450</xdr:rowOff>
    </xdr:to>
    <xdr:pic>
      <xdr:nvPicPr>
        <xdr:cNvPr id="16" name="Picture 4">
          <a:extLst>
            <a:ext uri="{FF2B5EF4-FFF2-40B4-BE49-F238E27FC236}">
              <a16:creationId xmlns:a16="http://schemas.microsoft.com/office/drawing/2014/main" id="{00000000-0008-0000-0C00-000010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6229352" y="7896226"/>
          <a:ext cx="885822" cy="409574"/>
        </a:xfrm>
        <a:prstGeom prst="rect">
          <a:avLst/>
        </a:prstGeom>
        <a:noFill/>
      </xdr:spPr>
    </xdr:pic>
    <xdr:clientData/>
  </xdr:twoCellAnchor>
  <xdr:twoCellAnchor>
    <xdr:from>
      <xdr:col>10</xdr:col>
      <xdr:colOff>47624</xdr:colOff>
      <xdr:row>34</xdr:row>
      <xdr:rowOff>171450</xdr:rowOff>
    </xdr:from>
    <xdr:to>
      <xdr:col>10</xdr:col>
      <xdr:colOff>858115</xdr:colOff>
      <xdr:row>34</xdr:row>
      <xdr:rowOff>533400</xdr:rowOff>
    </xdr:to>
    <xdr:pic>
      <xdr:nvPicPr>
        <xdr:cNvPr id="17" name="Picture 5">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7315199" y="6696075"/>
          <a:ext cx="810491" cy="361950"/>
        </a:xfrm>
        <a:prstGeom prst="rect">
          <a:avLst/>
        </a:prstGeom>
        <a:noFill/>
      </xdr:spPr>
    </xdr:pic>
    <xdr:clientData/>
  </xdr:twoCellAnchor>
  <xdr:twoCellAnchor>
    <xdr:from>
      <xdr:col>12</xdr:col>
      <xdr:colOff>533401</xdr:colOff>
      <xdr:row>34</xdr:row>
      <xdr:rowOff>209551</xdr:rowOff>
    </xdr:from>
    <xdr:to>
      <xdr:col>14</xdr:col>
      <xdr:colOff>48023</xdr:colOff>
      <xdr:row>34</xdr:row>
      <xdr:rowOff>523875</xdr:rowOff>
    </xdr:to>
    <xdr:pic>
      <xdr:nvPicPr>
        <xdr:cNvPr id="18" name="Picture 6">
          <a:extLst>
            <a:ext uri="{FF2B5EF4-FFF2-40B4-BE49-F238E27FC236}">
              <a16:creationId xmlns:a16="http://schemas.microsoft.com/office/drawing/2014/main" id="{00000000-0008-0000-0C00-000012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0267951" y="7962901"/>
          <a:ext cx="1000522" cy="314324"/>
        </a:xfrm>
        <a:prstGeom prst="rect">
          <a:avLst/>
        </a:prstGeom>
        <a:noFill/>
      </xdr:spPr>
    </xdr:pic>
    <xdr:clientData/>
  </xdr:twoCellAnchor>
  <xdr:twoCellAnchor>
    <xdr:from>
      <xdr:col>6</xdr:col>
      <xdr:colOff>0</xdr:colOff>
      <xdr:row>45</xdr:row>
      <xdr:rowOff>0</xdr:rowOff>
    </xdr:from>
    <xdr:to>
      <xdr:col>8</xdr:col>
      <xdr:colOff>161925</xdr:colOff>
      <xdr:row>46</xdr:row>
      <xdr:rowOff>0</xdr:rowOff>
    </xdr:to>
    <xdr:pic>
      <xdr:nvPicPr>
        <xdr:cNvPr id="19" name="Picture 9">
          <a:extLst>
            <a:ext uri="{FF2B5EF4-FFF2-40B4-BE49-F238E27FC236}">
              <a16:creationId xmlns:a16="http://schemas.microsoft.com/office/drawing/2014/main" id="{00000000-0008-0000-0C00-000013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4610100" y="3228975"/>
          <a:ext cx="1447800" cy="200025"/>
        </a:xfrm>
        <a:prstGeom prst="rect">
          <a:avLst/>
        </a:prstGeom>
        <a:noFill/>
      </xdr:spPr>
    </xdr:pic>
    <xdr:clientData/>
  </xdr:twoCellAnchor>
  <xdr:twoCellAnchor>
    <xdr:from>
      <xdr:col>6</xdr:col>
      <xdr:colOff>0</xdr:colOff>
      <xdr:row>46</xdr:row>
      <xdr:rowOff>0</xdr:rowOff>
    </xdr:from>
    <xdr:to>
      <xdr:col>8</xdr:col>
      <xdr:colOff>152400</xdr:colOff>
      <xdr:row>47</xdr:row>
      <xdr:rowOff>0</xdr:rowOff>
    </xdr:to>
    <xdr:pic>
      <xdr:nvPicPr>
        <xdr:cNvPr id="20" name="Picture 8">
          <a:extLst>
            <a:ext uri="{FF2B5EF4-FFF2-40B4-BE49-F238E27FC236}">
              <a16:creationId xmlns:a16="http://schemas.microsoft.com/office/drawing/2014/main" id="{00000000-0008-0000-0C00-000014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4610100" y="3429000"/>
          <a:ext cx="1438275" cy="200025"/>
        </a:xfrm>
        <a:prstGeom prst="rect">
          <a:avLst/>
        </a:prstGeom>
        <a:noFill/>
      </xdr:spPr>
    </xdr:pic>
    <xdr:clientData/>
  </xdr:twoCellAnchor>
  <xdr:twoCellAnchor>
    <xdr:from>
      <xdr:col>6</xdr:col>
      <xdr:colOff>0</xdr:colOff>
      <xdr:row>47</xdr:row>
      <xdr:rowOff>0</xdr:rowOff>
    </xdr:from>
    <xdr:to>
      <xdr:col>9</xdr:col>
      <xdr:colOff>180975</xdr:colOff>
      <xdr:row>48</xdr:row>
      <xdr:rowOff>190500</xdr:rowOff>
    </xdr:to>
    <xdr:pic>
      <xdr:nvPicPr>
        <xdr:cNvPr id="21" name="Picture 7">
          <a:extLst>
            <a:ext uri="{FF2B5EF4-FFF2-40B4-BE49-F238E27FC236}">
              <a16:creationId xmlns:a16="http://schemas.microsoft.com/office/drawing/2014/main" id="{00000000-0008-0000-0C00-000015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610100" y="3629025"/>
          <a:ext cx="2343150" cy="390525"/>
        </a:xfrm>
        <a:prstGeom prst="rect">
          <a:avLst/>
        </a:prstGeom>
        <a:noFill/>
      </xdr:spPr>
    </xdr:pic>
    <xdr:clientData/>
  </xdr:twoCellAnchor>
  <xdr:twoCellAnchor>
    <xdr:from>
      <xdr:col>8</xdr:col>
      <xdr:colOff>66675</xdr:colOff>
      <xdr:row>51</xdr:row>
      <xdr:rowOff>95250</xdr:rowOff>
    </xdr:from>
    <xdr:to>
      <xdr:col>9</xdr:col>
      <xdr:colOff>180975</xdr:colOff>
      <xdr:row>53</xdr:row>
      <xdr:rowOff>85725</xdr:rowOff>
    </xdr:to>
    <xdr:pic>
      <xdr:nvPicPr>
        <xdr:cNvPr id="22" name="Picture 10">
          <a:extLst>
            <a:ext uri="{FF2B5EF4-FFF2-40B4-BE49-F238E27FC236}">
              <a16:creationId xmlns:a16="http://schemas.microsoft.com/office/drawing/2014/main" id="{00000000-0008-0000-0C00-000016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5962650" y="4524375"/>
          <a:ext cx="990600" cy="390525"/>
        </a:xfrm>
        <a:prstGeom prst="rect">
          <a:avLst/>
        </a:prstGeom>
        <a:noFill/>
      </xdr:spPr>
    </xdr:pic>
    <xdr:clientData/>
  </xdr:twoCellAnchor>
  <xdr:twoCellAnchor>
    <xdr:from>
      <xdr:col>5</xdr:col>
      <xdr:colOff>854403</xdr:colOff>
      <xdr:row>53</xdr:row>
      <xdr:rowOff>28575</xdr:rowOff>
    </xdr:from>
    <xdr:to>
      <xdr:col>7</xdr:col>
      <xdr:colOff>24768</xdr:colOff>
      <xdr:row>55</xdr:row>
      <xdr:rowOff>114300</xdr:rowOff>
    </xdr:to>
    <xdr:pic>
      <xdr:nvPicPr>
        <xdr:cNvPr id="23" name="Picture 7">
          <a:extLst>
            <a:ext uri="{FF2B5EF4-FFF2-40B4-BE49-F238E27FC236}">
              <a16:creationId xmlns:a16="http://schemas.microsoft.com/office/drawing/2014/main" id="{00000000-0008-0000-0C00-000017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l="23049" r="46098"/>
        <a:stretch>
          <a:fillRect/>
        </a:stretch>
      </xdr:blipFill>
      <xdr:spPr bwMode="auto">
        <a:xfrm>
          <a:off x="4969203" y="12382500"/>
          <a:ext cx="722940" cy="523875"/>
        </a:xfrm>
        <a:prstGeom prst="rect">
          <a:avLst/>
        </a:prstGeom>
        <a:noFill/>
      </xdr:spPr>
    </xdr:pic>
    <xdr:clientData/>
  </xdr:twoCellAnchor>
  <xdr:twoCellAnchor>
    <xdr:from>
      <xdr:col>0</xdr:col>
      <xdr:colOff>19050</xdr:colOff>
      <xdr:row>103</xdr:row>
      <xdr:rowOff>0</xdr:rowOff>
    </xdr:from>
    <xdr:to>
      <xdr:col>2</xdr:col>
      <xdr:colOff>295275</xdr:colOff>
      <xdr:row>105</xdr:row>
      <xdr:rowOff>142875</xdr:rowOff>
    </xdr:to>
    <xdr:pic>
      <xdr:nvPicPr>
        <xdr:cNvPr id="24" name="Picture 3">
          <a:extLst>
            <a:ext uri="{FF2B5EF4-FFF2-40B4-BE49-F238E27FC236}">
              <a16:creationId xmlns:a16="http://schemas.microsoft.com/office/drawing/2014/main" id="{00000000-0008-0000-0C00-00001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9050" y="3028950"/>
          <a:ext cx="1933575" cy="542925"/>
        </a:xfrm>
        <a:prstGeom prst="rect">
          <a:avLst/>
        </a:prstGeom>
        <a:noFill/>
      </xdr:spPr>
    </xdr:pic>
    <xdr:clientData/>
  </xdr:twoCellAnchor>
  <xdr:twoCellAnchor>
    <xdr:from>
      <xdr:col>0</xdr:col>
      <xdr:colOff>28575</xdr:colOff>
      <xdr:row>106</xdr:row>
      <xdr:rowOff>19050</xdr:rowOff>
    </xdr:from>
    <xdr:to>
      <xdr:col>2</xdr:col>
      <xdr:colOff>219075</xdr:colOff>
      <xdr:row>108</xdr:row>
      <xdr:rowOff>152400</xdr:rowOff>
    </xdr:to>
    <xdr:pic>
      <xdr:nvPicPr>
        <xdr:cNvPr id="25" name="Picture 2">
          <a:extLst>
            <a:ext uri="{FF2B5EF4-FFF2-40B4-BE49-F238E27FC236}">
              <a16:creationId xmlns:a16="http://schemas.microsoft.com/office/drawing/2014/main" id="{00000000-0008-0000-0C00-00001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28575" y="3648075"/>
          <a:ext cx="1847850" cy="533400"/>
        </a:xfrm>
        <a:prstGeom prst="rect">
          <a:avLst/>
        </a:prstGeom>
        <a:noFill/>
      </xdr:spPr>
    </xdr:pic>
    <xdr:clientData/>
  </xdr:twoCellAnchor>
  <xdr:twoCellAnchor>
    <xdr:from>
      <xdr:col>0</xdr:col>
      <xdr:colOff>19050</xdr:colOff>
      <xdr:row>108</xdr:row>
      <xdr:rowOff>152400</xdr:rowOff>
    </xdr:from>
    <xdr:to>
      <xdr:col>2</xdr:col>
      <xdr:colOff>200025</xdr:colOff>
      <xdr:row>111</xdr:row>
      <xdr:rowOff>123825</xdr:rowOff>
    </xdr:to>
    <xdr:pic>
      <xdr:nvPicPr>
        <xdr:cNvPr id="26" name="Picture 1">
          <a:extLst>
            <a:ext uri="{FF2B5EF4-FFF2-40B4-BE49-F238E27FC236}">
              <a16:creationId xmlns:a16="http://schemas.microsoft.com/office/drawing/2014/main" id="{00000000-0008-0000-0C00-00001A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19050" y="4181475"/>
          <a:ext cx="1838325" cy="571500"/>
        </a:xfrm>
        <a:prstGeom prst="rect">
          <a:avLst/>
        </a:prstGeom>
        <a:noFill/>
      </xdr:spPr>
    </xdr:pic>
    <xdr:clientData/>
  </xdr:twoCellAnchor>
  <xdr:twoCellAnchor>
    <xdr:from>
      <xdr:col>5</xdr:col>
      <xdr:colOff>819152</xdr:colOff>
      <xdr:row>94</xdr:row>
      <xdr:rowOff>180976</xdr:rowOff>
    </xdr:from>
    <xdr:to>
      <xdr:col>7</xdr:col>
      <xdr:colOff>161924</xdr:colOff>
      <xdr:row>94</xdr:row>
      <xdr:rowOff>590550</xdr:rowOff>
    </xdr:to>
    <xdr:pic>
      <xdr:nvPicPr>
        <xdr:cNvPr id="27" name="Picture 4">
          <a:extLst>
            <a:ext uri="{FF2B5EF4-FFF2-40B4-BE49-F238E27FC236}">
              <a16:creationId xmlns:a16="http://schemas.microsoft.com/office/drawing/2014/main" id="{00000000-0008-0000-0C00-00001B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4933952" y="428626"/>
          <a:ext cx="895347" cy="409574"/>
        </a:xfrm>
        <a:prstGeom prst="rect">
          <a:avLst/>
        </a:prstGeom>
        <a:noFill/>
      </xdr:spPr>
    </xdr:pic>
    <xdr:clientData/>
  </xdr:twoCellAnchor>
  <xdr:twoCellAnchor>
    <xdr:from>
      <xdr:col>8</xdr:col>
      <xdr:colOff>47624</xdr:colOff>
      <xdr:row>94</xdr:row>
      <xdr:rowOff>247650</xdr:rowOff>
    </xdr:from>
    <xdr:to>
      <xdr:col>8</xdr:col>
      <xdr:colOff>858115</xdr:colOff>
      <xdr:row>94</xdr:row>
      <xdr:rowOff>533400</xdr:rowOff>
    </xdr:to>
    <xdr:pic>
      <xdr:nvPicPr>
        <xdr:cNvPr id="28" name="Picture 5">
          <a:extLst>
            <a:ext uri="{FF2B5EF4-FFF2-40B4-BE49-F238E27FC236}">
              <a16:creationId xmlns:a16="http://schemas.microsoft.com/office/drawing/2014/main" id="{00000000-0008-0000-0C00-00001C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6438899" y="495300"/>
          <a:ext cx="810491" cy="285750"/>
        </a:xfrm>
        <a:prstGeom prst="rect">
          <a:avLst/>
        </a:prstGeom>
        <a:noFill/>
      </xdr:spPr>
    </xdr:pic>
    <xdr:clientData/>
  </xdr:twoCellAnchor>
  <xdr:twoCellAnchor>
    <xdr:from>
      <xdr:col>9</xdr:col>
      <xdr:colOff>552450</xdr:colOff>
      <xdr:row>94</xdr:row>
      <xdr:rowOff>228600</xdr:rowOff>
    </xdr:from>
    <xdr:to>
      <xdr:col>10</xdr:col>
      <xdr:colOff>581025</xdr:colOff>
      <xdr:row>94</xdr:row>
      <xdr:rowOff>457200</xdr:rowOff>
    </xdr:to>
    <xdr:pic>
      <xdr:nvPicPr>
        <xdr:cNvPr id="29" name="Picture 6">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7820025" y="476250"/>
          <a:ext cx="904875" cy="228600"/>
        </a:xfrm>
        <a:prstGeom prst="rect">
          <a:avLst/>
        </a:prstGeom>
        <a:noFill/>
      </xdr:spPr>
    </xdr:pic>
    <xdr:clientData/>
  </xdr:twoCellAnchor>
  <xdr:twoCellAnchor>
    <xdr:from>
      <xdr:col>6</xdr:col>
      <xdr:colOff>0</xdr:colOff>
      <xdr:row>104</xdr:row>
      <xdr:rowOff>0</xdr:rowOff>
    </xdr:from>
    <xdr:to>
      <xdr:col>8</xdr:col>
      <xdr:colOff>161925</xdr:colOff>
      <xdr:row>105</xdr:row>
      <xdr:rowOff>0</xdr:rowOff>
    </xdr:to>
    <xdr:pic>
      <xdr:nvPicPr>
        <xdr:cNvPr id="30" name="Picture 9">
          <a:extLst>
            <a:ext uri="{FF2B5EF4-FFF2-40B4-BE49-F238E27FC236}">
              <a16:creationId xmlns:a16="http://schemas.microsoft.com/office/drawing/2014/main" id="{00000000-0008-0000-0C00-00001E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4991100" y="3228975"/>
          <a:ext cx="1562100" cy="200025"/>
        </a:xfrm>
        <a:prstGeom prst="rect">
          <a:avLst/>
        </a:prstGeom>
        <a:noFill/>
      </xdr:spPr>
    </xdr:pic>
    <xdr:clientData/>
  </xdr:twoCellAnchor>
  <xdr:twoCellAnchor>
    <xdr:from>
      <xdr:col>6</xdr:col>
      <xdr:colOff>0</xdr:colOff>
      <xdr:row>105</xdr:row>
      <xdr:rowOff>0</xdr:rowOff>
    </xdr:from>
    <xdr:to>
      <xdr:col>8</xdr:col>
      <xdr:colOff>152400</xdr:colOff>
      <xdr:row>106</xdr:row>
      <xdr:rowOff>0</xdr:rowOff>
    </xdr:to>
    <xdr:pic>
      <xdr:nvPicPr>
        <xdr:cNvPr id="31" name="Picture 8">
          <a:extLst>
            <a:ext uri="{FF2B5EF4-FFF2-40B4-BE49-F238E27FC236}">
              <a16:creationId xmlns:a16="http://schemas.microsoft.com/office/drawing/2014/main" id="{00000000-0008-0000-0C00-00001F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4991100" y="3429000"/>
          <a:ext cx="1552575" cy="200025"/>
        </a:xfrm>
        <a:prstGeom prst="rect">
          <a:avLst/>
        </a:prstGeom>
        <a:noFill/>
      </xdr:spPr>
    </xdr:pic>
    <xdr:clientData/>
  </xdr:twoCellAnchor>
  <xdr:twoCellAnchor>
    <xdr:from>
      <xdr:col>6</xdr:col>
      <xdr:colOff>0</xdr:colOff>
      <xdr:row>106</xdr:row>
      <xdr:rowOff>0</xdr:rowOff>
    </xdr:from>
    <xdr:to>
      <xdr:col>9</xdr:col>
      <xdr:colOff>180975</xdr:colOff>
      <xdr:row>107</xdr:row>
      <xdr:rowOff>190500</xdr:rowOff>
    </xdr:to>
    <xdr:pic>
      <xdr:nvPicPr>
        <xdr:cNvPr id="32" name="Picture 7">
          <a:extLst>
            <a:ext uri="{FF2B5EF4-FFF2-40B4-BE49-F238E27FC236}">
              <a16:creationId xmlns:a16="http://schemas.microsoft.com/office/drawing/2014/main" id="{00000000-0008-0000-0C00-000020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991100" y="3629025"/>
          <a:ext cx="2457450" cy="390525"/>
        </a:xfrm>
        <a:prstGeom prst="rect">
          <a:avLst/>
        </a:prstGeom>
        <a:noFill/>
      </xdr:spPr>
    </xdr:pic>
    <xdr:clientData/>
  </xdr:twoCellAnchor>
  <xdr:twoCellAnchor>
    <xdr:from>
      <xdr:col>8</xdr:col>
      <xdr:colOff>66675</xdr:colOff>
      <xdr:row>110</xdr:row>
      <xdr:rowOff>95250</xdr:rowOff>
    </xdr:from>
    <xdr:to>
      <xdr:col>9</xdr:col>
      <xdr:colOff>180975</xdr:colOff>
      <xdr:row>112</xdr:row>
      <xdr:rowOff>85725</xdr:rowOff>
    </xdr:to>
    <xdr:pic>
      <xdr:nvPicPr>
        <xdr:cNvPr id="33" name="Picture 10">
          <a:extLst>
            <a:ext uri="{FF2B5EF4-FFF2-40B4-BE49-F238E27FC236}">
              <a16:creationId xmlns:a16="http://schemas.microsoft.com/office/drawing/2014/main" id="{00000000-0008-0000-0C00-000021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6457950" y="4524375"/>
          <a:ext cx="990600" cy="390525"/>
        </a:xfrm>
        <a:prstGeom prst="rect">
          <a:avLst/>
        </a:prstGeom>
        <a:noFill/>
      </xdr:spPr>
    </xdr:pic>
    <xdr:clientData/>
  </xdr:twoCellAnchor>
  <xdr:twoCellAnchor>
    <xdr:from>
      <xdr:col>5</xdr:col>
      <xdr:colOff>825828</xdr:colOff>
      <xdr:row>112</xdr:row>
      <xdr:rowOff>85726</xdr:rowOff>
    </xdr:from>
    <xdr:to>
      <xdr:col>6</xdr:col>
      <xdr:colOff>672468</xdr:colOff>
      <xdr:row>114</xdr:row>
      <xdr:rowOff>47626</xdr:rowOff>
    </xdr:to>
    <xdr:pic>
      <xdr:nvPicPr>
        <xdr:cNvPr id="34" name="Picture 7">
          <a:extLst>
            <a:ext uri="{FF2B5EF4-FFF2-40B4-BE49-F238E27FC236}">
              <a16:creationId xmlns:a16="http://schemas.microsoft.com/office/drawing/2014/main" id="{00000000-0008-0000-0C00-000022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l="23049" r="46098"/>
        <a:stretch>
          <a:fillRect/>
        </a:stretch>
      </xdr:blipFill>
      <xdr:spPr bwMode="auto">
        <a:xfrm>
          <a:off x="4940628" y="19364326"/>
          <a:ext cx="722940" cy="400050"/>
        </a:xfrm>
        <a:prstGeom prst="rect">
          <a:avLst/>
        </a:prstGeom>
        <a:noFill/>
      </xdr:spPr>
    </xdr:pic>
    <xdr:clientData/>
  </xdr:twoCellAnchor>
  <xdr:twoCellAnchor>
    <xdr:from>
      <xdr:col>0</xdr:col>
      <xdr:colOff>19050</xdr:colOff>
      <xdr:row>163</xdr:row>
      <xdr:rowOff>0</xdr:rowOff>
    </xdr:from>
    <xdr:to>
      <xdr:col>2</xdr:col>
      <xdr:colOff>295275</xdr:colOff>
      <xdr:row>165</xdr:row>
      <xdr:rowOff>142875</xdr:rowOff>
    </xdr:to>
    <xdr:pic>
      <xdr:nvPicPr>
        <xdr:cNvPr id="35" name="Picture 3">
          <a:extLst>
            <a:ext uri="{FF2B5EF4-FFF2-40B4-BE49-F238E27FC236}">
              <a16:creationId xmlns:a16="http://schemas.microsoft.com/office/drawing/2014/main" id="{00000000-0008-0000-0C00-000023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9050" y="23279100"/>
          <a:ext cx="1933575" cy="542925"/>
        </a:xfrm>
        <a:prstGeom prst="rect">
          <a:avLst/>
        </a:prstGeom>
        <a:noFill/>
      </xdr:spPr>
    </xdr:pic>
    <xdr:clientData/>
  </xdr:twoCellAnchor>
  <xdr:twoCellAnchor>
    <xdr:from>
      <xdr:col>0</xdr:col>
      <xdr:colOff>28575</xdr:colOff>
      <xdr:row>166</xdr:row>
      <xdr:rowOff>19050</xdr:rowOff>
    </xdr:from>
    <xdr:to>
      <xdr:col>2</xdr:col>
      <xdr:colOff>219075</xdr:colOff>
      <xdr:row>168</xdr:row>
      <xdr:rowOff>152400</xdr:rowOff>
    </xdr:to>
    <xdr:pic>
      <xdr:nvPicPr>
        <xdr:cNvPr id="36" name="Picture 2">
          <a:extLst>
            <a:ext uri="{FF2B5EF4-FFF2-40B4-BE49-F238E27FC236}">
              <a16:creationId xmlns:a16="http://schemas.microsoft.com/office/drawing/2014/main" id="{00000000-0008-0000-0C00-000024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28575" y="23898225"/>
          <a:ext cx="1847850" cy="533400"/>
        </a:xfrm>
        <a:prstGeom prst="rect">
          <a:avLst/>
        </a:prstGeom>
        <a:noFill/>
      </xdr:spPr>
    </xdr:pic>
    <xdr:clientData/>
  </xdr:twoCellAnchor>
  <xdr:twoCellAnchor>
    <xdr:from>
      <xdr:col>0</xdr:col>
      <xdr:colOff>19050</xdr:colOff>
      <xdr:row>168</xdr:row>
      <xdr:rowOff>152400</xdr:rowOff>
    </xdr:from>
    <xdr:to>
      <xdr:col>2</xdr:col>
      <xdr:colOff>200025</xdr:colOff>
      <xdr:row>171</xdr:row>
      <xdr:rowOff>123825</xdr:rowOff>
    </xdr:to>
    <xdr:pic>
      <xdr:nvPicPr>
        <xdr:cNvPr id="37" name="Picture 1">
          <a:extLst>
            <a:ext uri="{FF2B5EF4-FFF2-40B4-BE49-F238E27FC236}">
              <a16:creationId xmlns:a16="http://schemas.microsoft.com/office/drawing/2014/main" id="{00000000-0008-0000-0C00-00002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19050" y="24431625"/>
          <a:ext cx="1838325" cy="571500"/>
        </a:xfrm>
        <a:prstGeom prst="rect">
          <a:avLst/>
        </a:prstGeom>
        <a:noFill/>
      </xdr:spPr>
    </xdr:pic>
    <xdr:clientData/>
  </xdr:twoCellAnchor>
  <xdr:twoCellAnchor>
    <xdr:from>
      <xdr:col>5</xdr:col>
      <xdr:colOff>819152</xdr:colOff>
      <xdr:row>154</xdr:row>
      <xdr:rowOff>180976</xdr:rowOff>
    </xdr:from>
    <xdr:to>
      <xdr:col>7</xdr:col>
      <xdr:colOff>161924</xdr:colOff>
      <xdr:row>154</xdr:row>
      <xdr:rowOff>590550</xdr:rowOff>
    </xdr:to>
    <xdr:pic>
      <xdr:nvPicPr>
        <xdr:cNvPr id="38" name="Picture 4">
          <a:extLst>
            <a:ext uri="{FF2B5EF4-FFF2-40B4-BE49-F238E27FC236}">
              <a16:creationId xmlns:a16="http://schemas.microsoft.com/office/drawing/2014/main" id="{00000000-0008-0000-0C00-00002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4933952" y="20859751"/>
          <a:ext cx="895347" cy="409574"/>
        </a:xfrm>
        <a:prstGeom prst="rect">
          <a:avLst/>
        </a:prstGeom>
        <a:noFill/>
      </xdr:spPr>
    </xdr:pic>
    <xdr:clientData/>
  </xdr:twoCellAnchor>
  <xdr:twoCellAnchor>
    <xdr:from>
      <xdr:col>8</xdr:col>
      <xdr:colOff>47624</xdr:colOff>
      <xdr:row>154</xdr:row>
      <xdr:rowOff>247650</xdr:rowOff>
    </xdr:from>
    <xdr:to>
      <xdr:col>8</xdr:col>
      <xdr:colOff>858115</xdr:colOff>
      <xdr:row>154</xdr:row>
      <xdr:rowOff>533400</xdr:rowOff>
    </xdr:to>
    <xdr:pic>
      <xdr:nvPicPr>
        <xdr:cNvPr id="39" name="Picture 5">
          <a:extLst>
            <a:ext uri="{FF2B5EF4-FFF2-40B4-BE49-F238E27FC236}">
              <a16:creationId xmlns:a16="http://schemas.microsoft.com/office/drawing/2014/main" id="{00000000-0008-0000-0C00-000027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6438899" y="20926425"/>
          <a:ext cx="810491" cy="285750"/>
        </a:xfrm>
        <a:prstGeom prst="rect">
          <a:avLst/>
        </a:prstGeom>
        <a:noFill/>
      </xdr:spPr>
    </xdr:pic>
    <xdr:clientData/>
  </xdr:twoCellAnchor>
  <xdr:twoCellAnchor>
    <xdr:from>
      <xdr:col>9</xdr:col>
      <xdr:colOff>552450</xdr:colOff>
      <xdr:row>154</xdr:row>
      <xdr:rowOff>228600</xdr:rowOff>
    </xdr:from>
    <xdr:to>
      <xdr:col>10</xdr:col>
      <xdr:colOff>581025</xdr:colOff>
      <xdr:row>154</xdr:row>
      <xdr:rowOff>457200</xdr:rowOff>
    </xdr:to>
    <xdr:pic>
      <xdr:nvPicPr>
        <xdr:cNvPr id="40" name="Picture 6">
          <a:extLst>
            <a:ext uri="{FF2B5EF4-FFF2-40B4-BE49-F238E27FC236}">
              <a16:creationId xmlns:a16="http://schemas.microsoft.com/office/drawing/2014/main" id="{00000000-0008-0000-0C00-000028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7820025" y="20907375"/>
          <a:ext cx="904875" cy="228600"/>
        </a:xfrm>
        <a:prstGeom prst="rect">
          <a:avLst/>
        </a:prstGeom>
        <a:noFill/>
      </xdr:spPr>
    </xdr:pic>
    <xdr:clientData/>
  </xdr:twoCellAnchor>
  <xdr:twoCellAnchor>
    <xdr:from>
      <xdr:col>6</xdr:col>
      <xdr:colOff>0</xdr:colOff>
      <xdr:row>164</xdr:row>
      <xdr:rowOff>0</xdr:rowOff>
    </xdr:from>
    <xdr:to>
      <xdr:col>8</xdr:col>
      <xdr:colOff>161925</xdr:colOff>
      <xdr:row>165</xdr:row>
      <xdr:rowOff>0</xdr:rowOff>
    </xdr:to>
    <xdr:pic>
      <xdr:nvPicPr>
        <xdr:cNvPr id="41" name="Picture 9">
          <a:extLst>
            <a:ext uri="{FF2B5EF4-FFF2-40B4-BE49-F238E27FC236}">
              <a16:creationId xmlns:a16="http://schemas.microsoft.com/office/drawing/2014/main" id="{00000000-0008-0000-0C00-000029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4991100" y="23479125"/>
          <a:ext cx="1562100" cy="200025"/>
        </a:xfrm>
        <a:prstGeom prst="rect">
          <a:avLst/>
        </a:prstGeom>
        <a:noFill/>
      </xdr:spPr>
    </xdr:pic>
    <xdr:clientData/>
  </xdr:twoCellAnchor>
  <xdr:twoCellAnchor>
    <xdr:from>
      <xdr:col>6</xdr:col>
      <xdr:colOff>0</xdr:colOff>
      <xdr:row>165</xdr:row>
      <xdr:rowOff>0</xdr:rowOff>
    </xdr:from>
    <xdr:to>
      <xdr:col>8</xdr:col>
      <xdr:colOff>152400</xdr:colOff>
      <xdr:row>166</xdr:row>
      <xdr:rowOff>0</xdr:rowOff>
    </xdr:to>
    <xdr:pic>
      <xdr:nvPicPr>
        <xdr:cNvPr id="42" name="Picture 8">
          <a:extLst>
            <a:ext uri="{FF2B5EF4-FFF2-40B4-BE49-F238E27FC236}">
              <a16:creationId xmlns:a16="http://schemas.microsoft.com/office/drawing/2014/main" id="{00000000-0008-0000-0C00-00002A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4991100" y="23679150"/>
          <a:ext cx="1552575" cy="200025"/>
        </a:xfrm>
        <a:prstGeom prst="rect">
          <a:avLst/>
        </a:prstGeom>
        <a:noFill/>
      </xdr:spPr>
    </xdr:pic>
    <xdr:clientData/>
  </xdr:twoCellAnchor>
  <xdr:twoCellAnchor>
    <xdr:from>
      <xdr:col>6</xdr:col>
      <xdr:colOff>0</xdr:colOff>
      <xdr:row>166</xdr:row>
      <xdr:rowOff>0</xdr:rowOff>
    </xdr:from>
    <xdr:to>
      <xdr:col>9</xdr:col>
      <xdr:colOff>180975</xdr:colOff>
      <xdr:row>167</xdr:row>
      <xdr:rowOff>190500</xdr:rowOff>
    </xdr:to>
    <xdr:pic>
      <xdr:nvPicPr>
        <xdr:cNvPr id="43" name="Picture 7">
          <a:extLst>
            <a:ext uri="{FF2B5EF4-FFF2-40B4-BE49-F238E27FC236}">
              <a16:creationId xmlns:a16="http://schemas.microsoft.com/office/drawing/2014/main" id="{00000000-0008-0000-0C00-00002B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991100" y="23879175"/>
          <a:ext cx="2457450" cy="390525"/>
        </a:xfrm>
        <a:prstGeom prst="rect">
          <a:avLst/>
        </a:prstGeom>
        <a:noFill/>
      </xdr:spPr>
    </xdr:pic>
    <xdr:clientData/>
  </xdr:twoCellAnchor>
  <xdr:twoCellAnchor>
    <xdr:from>
      <xdr:col>8</xdr:col>
      <xdr:colOff>66675</xdr:colOff>
      <xdr:row>170</xdr:row>
      <xdr:rowOff>95250</xdr:rowOff>
    </xdr:from>
    <xdr:to>
      <xdr:col>9</xdr:col>
      <xdr:colOff>180975</xdr:colOff>
      <xdr:row>172</xdr:row>
      <xdr:rowOff>85725</xdr:rowOff>
    </xdr:to>
    <xdr:pic>
      <xdr:nvPicPr>
        <xdr:cNvPr id="44" name="Picture 10">
          <a:extLst>
            <a:ext uri="{FF2B5EF4-FFF2-40B4-BE49-F238E27FC236}">
              <a16:creationId xmlns:a16="http://schemas.microsoft.com/office/drawing/2014/main" id="{00000000-0008-0000-0C00-00002C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6457950" y="24774525"/>
          <a:ext cx="990600" cy="390525"/>
        </a:xfrm>
        <a:prstGeom prst="rect">
          <a:avLst/>
        </a:prstGeom>
        <a:noFill/>
      </xdr:spPr>
    </xdr:pic>
    <xdr:clientData/>
  </xdr:twoCellAnchor>
  <xdr:twoCellAnchor>
    <xdr:from>
      <xdr:col>5</xdr:col>
      <xdr:colOff>825828</xdr:colOff>
      <xdr:row>172</xdr:row>
      <xdr:rowOff>85726</xdr:rowOff>
    </xdr:from>
    <xdr:to>
      <xdr:col>6</xdr:col>
      <xdr:colOff>672468</xdr:colOff>
      <xdr:row>174</xdr:row>
      <xdr:rowOff>47626</xdr:rowOff>
    </xdr:to>
    <xdr:pic>
      <xdr:nvPicPr>
        <xdr:cNvPr id="45" name="Picture 7">
          <a:extLst>
            <a:ext uri="{FF2B5EF4-FFF2-40B4-BE49-F238E27FC236}">
              <a16:creationId xmlns:a16="http://schemas.microsoft.com/office/drawing/2014/main" id="{00000000-0008-0000-0C00-00002D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l="23049" r="46098"/>
        <a:stretch>
          <a:fillRect/>
        </a:stretch>
      </xdr:blipFill>
      <xdr:spPr bwMode="auto">
        <a:xfrm>
          <a:off x="4940628" y="25165051"/>
          <a:ext cx="722940" cy="40005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1</xdr:row>
      <xdr:rowOff>10886</xdr:rowOff>
    </xdr:from>
    <xdr:to>
      <xdr:col>16</xdr:col>
      <xdr:colOff>598714</xdr:colOff>
      <xdr:row>14</xdr:row>
      <xdr:rowOff>0</xdr:rowOff>
    </xdr:to>
    <xdr:graphicFrame macro="">
      <xdr:nvGraphicFramePr>
        <xdr:cNvPr id="4" name="3 Grafik">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21772</xdr:colOff>
      <xdr:row>16</xdr:row>
      <xdr:rowOff>10885</xdr:rowOff>
    </xdr:from>
    <xdr:to>
      <xdr:col>16</xdr:col>
      <xdr:colOff>598714</xdr:colOff>
      <xdr:row>28</xdr:row>
      <xdr:rowOff>185056</xdr:rowOff>
    </xdr:to>
    <xdr:graphicFrame macro="">
      <xdr:nvGraphicFramePr>
        <xdr:cNvPr id="6" name="5 Grafik">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14</xdr:col>
      <xdr:colOff>412941</xdr:colOff>
      <xdr:row>9</xdr:row>
      <xdr:rowOff>4763</xdr:rowOff>
    </xdr:from>
    <xdr:ext cx="1249172" cy="462178"/>
    <mc:AlternateContent xmlns:mc="http://schemas.openxmlformats.org/markup-compatibility/2006" xmlns:a14="http://schemas.microsoft.com/office/drawing/2010/main">
      <mc:Choice Requires="a14">
        <xdr:sp macro="" textlink="">
          <xdr:nvSpPr>
            <xdr:cNvPr id="2" name="Metin kutusu 1">
              <a:extLst>
                <a:ext uri="{FF2B5EF4-FFF2-40B4-BE49-F238E27FC236}">
                  <a16:creationId xmlns:a16="http://schemas.microsoft.com/office/drawing/2014/main" id="{4665E111-B1C7-A4E4-75CE-8BB96F060BF8}"/>
                </a:ext>
              </a:extLst>
            </xdr:cNvPr>
            <xdr:cNvSpPr txBox="1"/>
          </xdr:nvSpPr>
          <xdr:spPr>
            <a:xfrm>
              <a:off x="9847454" y="2262188"/>
              <a:ext cx="1249172" cy="462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tr-TR" sz="1100" i="1">
                            <a:latin typeface="Cambria Math" panose="02040503050406030204" pitchFamily="18" charset="0"/>
                          </a:rPr>
                        </m:ctrlPr>
                      </m:accPr>
                      <m:e>
                        <m:r>
                          <a:rPr lang="tr-TR" sz="1100" i="1">
                            <a:latin typeface="Cambria Math" panose="02040503050406030204" pitchFamily="18" charset="0"/>
                          </a:rPr>
                          <m:t>𝑥</m:t>
                        </m:r>
                      </m:e>
                    </m:acc>
                    <m:r>
                      <a:rPr lang="tr-TR" sz="1100" b="0" i="1">
                        <a:latin typeface="Cambria Math" panose="02040503050406030204" pitchFamily="18" charset="0"/>
                      </a:rPr>
                      <m:t>=</m:t>
                    </m:r>
                    <m:nary>
                      <m:naryPr>
                        <m:chr m:val="∑"/>
                        <m:ctrlPr>
                          <a:rPr lang="tr-TR" sz="1100" i="1">
                            <a:latin typeface="Cambria Math" panose="02040503050406030204" pitchFamily="18" charset="0"/>
                          </a:rPr>
                        </m:ctrlPr>
                      </m:naryPr>
                      <m:sub>
                        <m:r>
                          <a:rPr lang="tr-TR" sz="1100" i="1">
                            <a:latin typeface="Cambria Math" panose="02040503050406030204" pitchFamily="18" charset="0"/>
                          </a:rPr>
                          <m:t>𝑘</m:t>
                        </m:r>
                        <m:r>
                          <a:rPr lang="tr-TR" sz="1100" i="1">
                            <a:latin typeface="Cambria Math" panose="02040503050406030204" pitchFamily="18" charset="0"/>
                          </a:rPr>
                          <m:t>=1</m:t>
                        </m:r>
                      </m:sub>
                      <m:sup>
                        <m:r>
                          <a:rPr lang="tr-TR" sz="1100" i="1">
                            <a:latin typeface="Cambria Math" panose="02040503050406030204" pitchFamily="18" charset="0"/>
                          </a:rPr>
                          <m:t>𝑛</m:t>
                        </m:r>
                      </m:sup>
                      <m:e>
                        <m:r>
                          <a:rPr lang="tr-TR" sz="1100" b="0" i="1">
                            <a:latin typeface="Cambria Math" panose="02040503050406030204" pitchFamily="18" charset="0"/>
                          </a:rPr>
                          <m:t>𝑋𝑖</m:t>
                        </m:r>
                      </m:e>
                    </m:nary>
                    <m:r>
                      <a:rPr lang="tr-TR" sz="1100" b="0" i="1">
                        <a:latin typeface="Cambria Math" panose="02040503050406030204" pitchFamily="18" charset="0"/>
                      </a:rPr>
                      <m:t>/</m:t>
                    </m:r>
                    <m:r>
                      <a:rPr lang="tr-TR" sz="1100" b="0" i="1">
                        <a:latin typeface="Cambria Math" panose="02040503050406030204" pitchFamily="18" charset="0"/>
                      </a:rPr>
                      <m:t>𝑁</m:t>
                    </m:r>
                  </m:oMath>
                </m:oMathPara>
              </a14:m>
              <a:endParaRPr lang="tr-TR" sz="1100"/>
            </a:p>
          </xdr:txBody>
        </xdr:sp>
      </mc:Choice>
      <mc:Fallback xmlns="">
        <xdr:sp macro="" textlink="">
          <xdr:nvSpPr>
            <xdr:cNvPr id="2" name="Metin kutusu 1">
              <a:extLst>
                <a:ext uri="{FF2B5EF4-FFF2-40B4-BE49-F238E27FC236}">
                  <a16:creationId xmlns:a16="http://schemas.microsoft.com/office/drawing/2014/main" id="{4665E111-B1C7-A4E4-75CE-8BB96F060BF8}"/>
                </a:ext>
              </a:extLst>
            </xdr:cNvPr>
            <xdr:cNvSpPr txBox="1"/>
          </xdr:nvSpPr>
          <xdr:spPr>
            <a:xfrm>
              <a:off x="9847454" y="2262188"/>
              <a:ext cx="1249172" cy="462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tr-TR" sz="1100" i="0">
                  <a:latin typeface="Cambria Math" panose="02040503050406030204" pitchFamily="18" charset="0"/>
                </a:rPr>
                <a:t>𝑥 ̄</a:t>
              </a:r>
              <a:r>
                <a:rPr lang="tr-TR" sz="1100" b="0" i="0">
                  <a:latin typeface="Cambria Math" panose="02040503050406030204" pitchFamily="18" charset="0"/>
                </a:rPr>
                <a:t>=</a:t>
              </a:r>
              <a:r>
                <a:rPr lang="tr-TR" sz="1100" i="0">
                  <a:latin typeface="Cambria Math" panose="02040503050406030204" pitchFamily="18" charset="0"/>
                </a:rPr>
                <a:t>∑24_(𝑘=</a:t>
              </a:r>
              <a:r>
                <a:rPr lang="tr-TR" sz="1100" b="0" i="0">
                  <a:latin typeface="Cambria Math" panose="02040503050406030204" pitchFamily="18" charset="0"/>
                </a:rPr>
                <a:t>1)^</a:t>
              </a:r>
              <a:r>
                <a:rPr lang="tr-TR" sz="1100" i="0">
                  <a:latin typeface="Cambria Math" panose="02040503050406030204" pitchFamily="18" charset="0"/>
                </a:rPr>
                <a:t>𝑛▒</a:t>
              </a:r>
              <a:r>
                <a:rPr lang="tr-TR" sz="1100" b="0" i="0">
                  <a:latin typeface="Cambria Math" panose="02040503050406030204" pitchFamily="18" charset="0"/>
                </a:rPr>
                <a:t>𝑋𝑖/𝑁</a:t>
              </a:r>
              <a:endParaRPr lang="tr-TR" sz="1100"/>
            </a:p>
          </xdr:txBody>
        </xdr:sp>
      </mc:Fallback>
    </mc:AlternateContent>
    <xdr:clientData/>
  </xdr:oneCellAnchor>
  <xdr:oneCellAnchor>
    <xdr:from>
      <xdr:col>14</xdr:col>
      <xdr:colOff>395288</xdr:colOff>
      <xdr:row>10</xdr:row>
      <xdr:rowOff>104775</xdr:rowOff>
    </xdr:from>
    <xdr:ext cx="1249172" cy="462178"/>
    <mc:AlternateContent xmlns:mc="http://schemas.openxmlformats.org/markup-compatibility/2006" xmlns:a14="http://schemas.microsoft.com/office/drawing/2010/main">
      <mc:Choice Requires="a14">
        <xdr:sp macro="" textlink="">
          <xdr:nvSpPr>
            <xdr:cNvPr id="3" name="Metin kutusu 2">
              <a:extLst>
                <a:ext uri="{FF2B5EF4-FFF2-40B4-BE49-F238E27FC236}">
                  <a16:creationId xmlns:a16="http://schemas.microsoft.com/office/drawing/2014/main" id="{D75D408B-4A59-4C3C-9422-321460873D45}"/>
                </a:ext>
              </a:extLst>
            </xdr:cNvPr>
            <xdr:cNvSpPr txBox="1"/>
          </xdr:nvSpPr>
          <xdr:spPr>
            <a:xfrm>
              <a:off x="9829801" y="2833688"/>
              <a:ext cx="1249172" cy="462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tr-TR" sz="1100" i="1">
                            <a:latin typeface="Cambria Math" panose="02040503050406030204" pitchFamily="18" charset="0"/>
                          </a:rPr>
                        </m:ctrlPr>
                      </m:accPr>
                      <m:e>
                        <m:r>
                          <a:rPr lang="tr-TR" sz="1100" i="1">
                            <a:latin typeface="Cambria Math" panose="02040503050406030204" pitchFamily="18" charset="0"/>
                          </a:rPr>
                          <m:t>𝑥</m:t>
                        </m:r>
                      </m:e>
                    </m:acc>
                    <m:r>
                      <a:rPr lang="tr-TR" sz="1100" b="0" i="1">
                        <a:latin typeface="Cambria Math" panose="02040503050406030204" pitchFamily="18" charset="0"/>
                      </a:rPr>
                      <m:t>=</m:t>
                    </m:r>
                    <m:nary>
                      <m:naryPr>
                        <m:chr m:val="∑"/>
                        <m:ctrlPr>
                          <a:rPr lang="tr-TR" sz="1100" i="1">
                            <a:latin typeface="Cambria Math" panose="02040503050406030204" pitchFamily="18" charset="0"/>
                          </a:rPr>
                        </m:ctrlPr>
                      </m:naryPr>
                      <m:sub>
                        <m:r>
                          <a:rPr lang="tr-TR" sz="1100" i="1">
                            <a:latin typeface="Cambria Math" panose="02040503050406030204" pitchFamily="18" charset="0"/>
                          </a:rPr>
                          <m:t>𝑘</m:t>
                        </m:r>
                        <m:r>
                          <a:rPr lang="tr-TR" sz="1100" i="1">
                            <a:latin typeface="Cambria Math" panose="02040503050406030204" pitchFamily="18" charset="0"/>
                          </a:rPr>
                          <m:t>=1</m:t>
                        </m:r>
                      </m:sub>
                      <m:sup>
                        <m:r>
                          <a:rPr lang="tr-TR" sz="1100" i="1">
                            <a:latin typeface="Cambria Math" panose="02040503050406030204" pitchFamily="18" charset="0"/>
                          </a:rPr>
                          <m:t>𝑛</m:t>
                        </m:r>
                      </m:sup>
                      <m:e>
                        <m:r>
                          <a:rPr lang="tr-TR" sz="1100" b="0" i="1">
                            <a:latin typeface="Cambria Math" panose="02040503050406030204" pitchFamily="18" charset="0"/>
                          </a:rPr>
                          <m:t>𝑋𝑖</m:t>
                        </m:r>
                      </m:e>
                    </m:nary>
                    <m:r>
                      <a:rPr lang="tr-TR" sz="1100" b="0" i="1">
                        <a:latin typeface="Cambria Math" panose="02040503050406030204" pitchFamily="18" charset="0"/>
                      </a:rPr>
                      <m:t>/</m:t>
                    </m:r>
                    <m:r>
                      <a:rPr lang="tr-TR" sz="1100" b="0" i="1">
                        <a:latin typeface="Cambria Math" panose="02040503050406030204" pitchFamily="18" charset="0"/>
                      </a:rPr>
                      <m:t>𝑛</m:t>
                    </m:r>
                  </m:oMath>
                </m:oMathPara>
              </a14:m>
              <a:endParaRPr lang="tr-TR" sz="1100"/>
            </a:p>
          </xdr:txBody>
        </xdr:sp>
      </mc:Choice>
      <mc:Fallback xmlns="">
        <xdr:sp macro="" textlink="">
          <xdr:nvSpPr>
            <xdr:cNvPr id="3" name="Metin kutusu 2">
              <a:extLst>
                <a:ext uri="{FF2B5EF4-FFF2-40B4-BE49-F238E27FC236}">
                  <a16:creationId xmlns:a16="http://schemas.microsoft.com/office/drawing/2014/main" id="{D75D408B-4A59-4C3C-9422-321460873D45}"/>
                </a:ext>
              </a:extLst>
            </xdr:cNvPr>
            <xdr:cNvSpPr txBox="1"/>
          </xdr:nvSpPr>
          <xdr:spPr>
            <a:xfrm>
              <a:off x="9829801" y="2833688"/>
              <a:ext cx="1249172" cy="462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tr-TR" sz="1100" i="0">
                  <a:latin typeface="Cambria Math" panose="02040503050406030204" pitchFamily="18" charset="0"/>
                </a:rPr>
                <a:t>𝑥 ̄</a:t>
              </a:r>
              <a:r>
                <a:rPr lang="tr-TR" sz="1100" b="0" i="0">
                  <a:latin typeface="Cambria Math" panose="02040503050406030204" pitchFamily="18" charset="0"/>
                </a:rPr>
                <a:t>=</a:t>
              </a:r>
              <a:r>
                <a:rPr lang="tr-TR" sz="1100" i="0">
                  <a:latin typeface="Cambria Math" panose="02040503050406030204" pitchFamily="18" charset="0"/>
                </a:rPr>
                <a:t>∑24_(𝑘=</a:t>
              </a:r>
              <a:r>
                <a:rPr lang="tr-TR" sz="1100" b="0" i="0">
                  <a:latin typeface="Cambria Math" panose="02040503050406030204" pitchFamily="18" charset="0"/>
                </a:rPr>
                <a:t>1)^</a:t>
              </a:r>
              <a:r>
                <a:rPr lang="tr-TR" sz="1100" i="0">
                  <a:latin typeface="Cambria Math" panose="02040503050406030204" pitchFamily="18" charset="0"/>
                </a:rPr>
                <a:t>𝑛▒</a:t>
              </a:r>
              <a:r>
                <a:rPr lang="tr-TR" sz="1100" b="0" i="0">
                  <a:latin typeface="Cambria Math" panose="02040503050406030204" pitchFamily="18" charset="0"/>
                </a:rPr>
                <a:t>𝑋𝑖/𝑛</a:t>
              </a:r>
              <a:endParaRPr lang="tr-T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47625</xdr:colOff>
      <xdr:row>9</xdr:row>
      <xdr:rowOff>19050</xdr:rowOff>
    </xdr:from>
    <xdr:to>
      <xdr:col>3</xdr:col>
      <xdr:colOff>590550</xdr:colOff>
      <xdr:row>18</xdr:row>
      <xdr:rowOff>152400</xdr:rowOff>
    </xdr:to>
    <xdr:graphicFrame macro="">
      <xdr:nvGraphicFramePr>
        <xdr:cNvPr id="15" name="14 Grafik">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19049</xdr:colOff>
      <xdr:row>9</xdr:row>
      <xdr:rowOff>0</xdr:rowOff>
    </xdr:from>
    <xdr:to>
      <xdr:col>7</xdr:col>
      <xdr:colOff>600074</xdr:colOff>
      <xdr:row>18</xdr:row>
      <xdr:rowOff>171450</xdr:rowOff>
    </xdr:to>
    <xdr:graphicFrame macro="">
      <xdr:nvGraphicFramePr>
        <xdr:cNvPr id="18" name="17 Grafik">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30480</xdr:rowOff>
    </xdr:from>
    <xdr:to>
      <xdr:col>1</xdr:col>
      <xdr:colOff>899160</xdr:colOff>
      <xdr:row>34</xdr:row>
      <xdr:rowOff>137160</xdr:rowOff>
    </xdr:to>
    <xdr:graphicFrame macro="">
      <xdr:nvGraphicFramePr>
        <xdr:cNvPr id="7" name="6 Grafik">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28</xdr:row>
      <xdr:rowOff>30480</xdr:rowOff>
    </xdr:from>
    <xdr:to>
      <xdr:col>5</xdr:col>
      <xdr:colOff>441960</xdr:colOff>
      <xdr:row>34</xdr:row>
      <xdr:rowOff>182880</xdr:rowOff>
    </xdr:to>
    <xdr:graphicFrame macro="">
      <xdr:nvGraphicFramePr>
        <xdr:cNvPr id="8" name="7 Grafik">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49</xdr:row>
      <xdr:rowOff>7620</xdr:rowOff>
    </xdr:from>
    <xdr:to>
      <xdr:col>1</xdr:col>
      <xdr:colOff>990600</xdr:colOff>
      <xdr:row>55</xdr:row>
      <xdr:rowOff>175260</xdr:rowOff>
    </xdr:to>
    <xdr:graphicFrame macro="">
      <xdr:nvGraphicFramePr>
        <xdr:cNvPr id="9" name="8 Grafik">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990600</xdr:colOff>
      <xdr:row>49</xdr:row>
      <xdr:rowOff>22860</xdr:rowOff>
    </xdr:from>
    <xdr:to>
      <xdr:col>5</xdr:col>
      <xdr:colOff>0</xdr:colOff>
      <xdr:row>55</xdr:row>
      <xdr:rowOff>190500</xdr:rowOff>
    </xdr:to>
    <xdr:graphicFrame macro="">
      <xdr:nvGraphicFramePr>
        <xdr:cNvPr id="10" name="9 Grafik">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72</xdr:row>
      <xdr:rowOff>15240</xdr:rowOff>
    </xdr:from>
    <xdr:to>
      <xdr:col>1</xdr:col>
      <xdr:colOff>998220</xdr:colOff>
      <xdr:row>78</xdr:row>
      <xdr:rowOff>190500</xdr:rowOff>
    </xdr:to>
    <xdr:graphicFrame macro="">
      <xdr:nvGraphicFramePr>
        <xdr:cNvPr id="11" name="10 Grafik">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15240</xdr:colOff>
      <xdr:row>71</xdr:row>
      <xdr:rowOff>190500</xdr:rowOff>
    </xdr:from>
    <xdr:to>
      <xdr:col>5</xdr:col>
      <xdr:colOff>0</xdr:colOff>
      <xdr:row>78</xdr:row>
      <xdr:rowOff>190500</xdr:rowOff>
    </xdr:to>
    <xdr:graphicFrame macro="">
      <xdr:nvGraphicFramePr>
        <xdr:cNvPr id="12" name="11 Grafik">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519</xdr:row>
      <xdr:rowOff>0</xdr:rowOff>
    </xdr:from>
    <xdr:to>
      <xdr:col>5</xdr:col>
      <xdr:colOff>876300</xdr:colOff>
      <xdr:row>519</xdr:row>
      <xdr:rowOff>251460</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709160" y="111412020"/>
          <a:ext cx="876300" cy="251460"/>
        </a:xfrm>
        <a:prstGeom prst="rect">
          <a:avLst/>
        </a:prstGeom>
        <a:noFill/>
      </xdr:spPr>
    </xdr:pic>
    <xdr:clientData/>
  </xdr:twoCellAnchor>
  <xdr:twoCellAnchor>
    <xdr:from>
      <xdr:col>2</xdr:col>
      <xdr:colOff>0</xdr:colOff>
      <xdr:row>527</xdr:row>
      <xdr:rowOff>0</xdr:rowOff>
    </xdr:from>
    <xdr:to>
      <xdr:col>2</xdr:col>
      <xdr:colOff>735106</xdr:colOff>
      <xdr:row>528</xdr:row>
      <xdr:rowOff>8965</xdr:rowOff>
    </xdr:to>
    <xdr:pic>
      <xdr:nvPicPr>
        <xdr:cNvPr id="13" name="Picture 4">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2079812" y="112991153"/>
          <a:ext cx="735106" cy="403412"/>
        </a:xfrm>
        <a:prstGeom prst="rect">
          <a:avLst/>
        </a:prstGeom>
        <a:noFill/>
      </xdr:spPr>
    </xdr:pic>
    <xdr:clientData/>
  </xdr:twoCellAnchor>
  <xdr:twoCellAnchor>
    <xdr:from>
      <xdr:col>3</xdr:col>
      <xdr:colOff>7620</xdr:colOff>
      <xdr:row>730</xdr:row>
      <xdr:rowOff>0</xdr:rowOff>
    </xdr:from>
    <xdr:to>
      <xdr:col>3</xdr:col>
      <xdr:colOff>914400</xdr:colOff>
      <xdr:row>736</xdr:row>
      <xdr:rowOff>121920</xdr:rowOff>
    </xdr:to>
    <xdr:graphicFrame macro="">
      <xdr:nvGraphicFramePr>
        <xdr:cNvPr id="17" name="16 Grafik">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28</xdr:row>
      <xdr:rowOff>15240</xdr:rowOff>
    </xdr:from>
    <xdr:to>
      <xdr:col>8</xdr:col>
      <xdr:colOff>22860</xdr:colOff>
      <xdr:row>35</xdr:row>
      <xdr:rowOff>0</xdr:rowOff>
    </xdr:to>
    <xdr:graphicFrame macro="">
      <xdr:nvGraphicFramePr>
        <xdr:cNvPr id="2" name="1 Grafik">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55</xdr:row>
      <xdr:rowOff>190501</xdr:rowOff>
    </xdr:from>
    <xdr:to>
      <xdr:col>7</xdr:col>
      <xdr:colOff>22860</xdr:colOff>
      <xdr:row>60</xdr:row>
      <xdr:rowOff>7620</xdr:rowOff>
    </xdr:to>
    <xdr:graphicFrame macro="">
      <xdr:nvGraphicFramePr>
        <xdr:cNvPr id="3" name="2 Grafik">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xdr:colOff>
      <xdr:row>56</xdr:row>
      <xdr:rowOff>0</xdr:rowOff>
    </xdr:from>
    <xdr:to>
      <xdr:col>7</xdr:col>
      <xdr:colOff>601980</xdr:colOff>
      <xdr:row>60</xdr:row>
      <xdr:rowOff>7620</xdr:rowOff>
    </xdr:to>
    <xdr:graphicFrame macro="">
      <xdr:nvGraphicFramePr>
        <xdr:cNvPr id="4" name="3 Grafik">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968188</xdr:colOff>
      <xdr:row>207</xdr:row>
      <xdr:rowOff>187347</xdr:rowOff>
    </xdr:from>
    <xdr:to>
      <xdr:col>4</xdr:col>
      <xdr:colOff>539676</xdr:colOff>
      <xdr:row>210</xdr:row>
      <xdr:rowOff>97594</xdr:rowOff>
    </xdr:to>
    <xdr:pic>
      <xdr:nvPicPr>
        <xdr:cNvPr id="2049" name="Picture 1" descr="ÖRNEKLEM ORTALAMASININ ÖRNEKLEME DAĞILIMININ VARYANSI FORMÜL ile ilgili görsel sonucu">
          <a:extLst>
            <a:ext uri="{FF2B5EF4-FFF2-40B4-BE49-F238E27FC236}">
              <a16:creationId xmlns:a16="http://schemas.microsoft.com/office/drawing/2014/main" id="{00000000-0008-0000-0300-000001080000}"/>
            </a:ext>
          </a:extLst>
        </xdr:cNvPr>
        <xdr:cNvPicPr>
          <a:picLocks noChangeAspect="1" noChangeArrowheads="1"/>
        </xdr:cNvPicPr>
      </xdr:nvPicPr>
      <xdr:blipFill>
        <a:blip xmlns:r="http://schemas.openxmlformats.org/officeDocument/2006/relationships" r:embed="rId4"/>
        <a:srcRect l="27750" t="47278" r="42010" b="37514"/>
        <a:stretch>
          <a:fillRect/>
        </a:stretch>
      </xdr:blipFill>
      <xdr:spPr bwMode="auto">
        <a:xfrm>
          <a:off x="2017059" y="49224288"/>
          <a:ext cx="2958354" cy="501918"/>
        </a:xfrm>
        <a:prstGeom prst="rect">
          <a:avLst/>
        </a:prstGeom>
        <a:noFill/>
      </xdr:spPr>
    </xdr:pic>
    <xdr:clientData/>
  </xdr:twoCellAnchor>
  <xdr:twoCellAnchor editAs="oneCell">
    <xdr:from>
      <xdr:col>2</xdr:col>
      <xdr:colOff>188259</xdr:colOff>
      <xdr:row>222</xdr:row>
      <xdr:rowOff>170329</xdr:rowOff>
    </xdr:from>
    <xdr:to>
      <xdr:col>4</xdr:col>
      <xdr:colOff>961017</xdr:colOff>
      <xdr:row>225</xdr:row>
      <xdr:rowOff>80577</xdr:rowOff>
    </xdr:to>
    <xdr:pic>
      <xdr:nvPicPr>
        <xdr:cNvPr id="6" name="Picture 1" descr="ÖRNEKLEM ORTALAMASININ ÖRNEKLEME DAĞILIMININ VARYANSI FORMÜL ile ilgili görsel sonucu">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srcRect l="27750" t="47278" r="42010" b="37514"/>
        <a:stretch>
          <a:fillRect/>
        </a:stretch>
      </xdr:blipFill>
      <xdr:spPr bwMode="auto">
        <a:xfrm>
          <a:off x="2438400" y="52972447"/>
          <a:ext cx="2958354" cy="501918"/>
        </a:xfrm>
        <a:prstGeom prst="rect">
          <a:avLst/>
        </a:prstGeom>
        <a:noFill/>
      </xdr:spPr>
    </xdr:pic>
    <xdr:clientData/>
  </xdr:twoCellAnchor>
  <xdr:twoCellAnchor>
    <xdr:from>
      <xdr:col>3</xdr:col>
      <xdr:colOff>887505</xdr:colOff>
      <xdr:row>587</xdr:row>
      <xdr:rowOff>860612</xdr:rowOff>
    </xdr:from>
    <xdr:to>
      <xdr:col>5</xdr:col>
      <xdr:colOff>44823</xdr:colOff>
      <xdr:row>590</xdr:row>
      <xdr:rowOff>80682</xdr:rowOff>
    </xdr:to>
    <xdr:cxnSp macro="">
      <xdr:nvCxnSpPr>
        <xdr:cNvPr id="8" name="7 Düz Ok Bağlayıcısı">
          <a:extLst>
            <a:ext uri="{FF2B5EF4-FFF2-40B4-BE49-F238E27FC236}">
              <a16:creationId xmlns:a16="http://schemas.microsoft.com/office/drawing/2014/main" id="{00000000-0008-0000-0300-000008000000}"/>
            </a:ext>
          </a:extLst>
        </xdr:cNvPr>
        <xdr:cNvCxnSpPr/>
      </xdr:nvCxnSpPr>
      <xdr:spPr>
        <a:xfrm>
          <a:off x="4132729" y="160324800"/>
          <a:ext cx="1470212" cy="609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977153</xdr:colOff>
      <xdr:row>593</xdr:row>
      <xdr:rowOff>98612</xdr:rowOff>
    </xdr:from>
    <xdr:to>
      <xdr:col>5</xdr:col>
      <xdr:colOff>53788</xdr:colOff>
      <xdr:row>596</xdr:row>
      <xdr:rowOff>98612</xdr:rowOff>
    </xdr:to>
    <xdr:cxnSp macro="">
      <xdr:nvCxnSpPr>
        <xdr:cNvPr id="10" name="9 Düz Ok Bağlayıcısı">
          <a:extLst>
            <a:ext uri="{FF2B5EF4-FFF2-40B4-BE49-F238E27FC236}">
              <a16:creationId xmlns:a16="http://schemas.microsoft.com/office/drawing/2014/main" id="{00000000-0008-0000-0300-00000A000000}"/>
            </a:ext>
          </a:extLst>
        </xdr:cNvPr>
        <xdr:cNvCxnSpPr/>
      </xdr:nvCxnSpPr>
      <xdr:spPr>
        <a:xfrm flipV="1">
          <a:off x="3227294" y="161544000"/>
          <a:ext cx="2384612" cy="591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342900</xdr:colOff>
      <xdr:row>166</xdr:row>
      <xdr:rowOff>30480</xdr:rowOff>
    </xdr:from>
    <xdr:to>
      <xdr:col>2</xdr:col>
      <xdr:colOff>419100</xdr:colOff>
      <xdr:row>166</xdr:row>
      <xdr:rowOff>167640</xdr:rowOff>
    </xdr:to>
    <xdr:pic>
      <xdr:nvPicPr>
        <xdr:cNvPr id="2049" name="Picture 1" descr="Aritmetik ortalama">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339340" y="34145220"/>
          <a:ext cx="76200" cy="137160"/>
        </a:xfrm>
        <a:prstGeom prst="rect">
          <a:avLst/>
        </a:prstGeom>
        <a:noFill/>
      </xdr:spPr>
    </xdr:pic>
    <xdr:clientData/>
  </xdr:twoCellAnchor>
  <xdr:twoCellAnchor editAs="oneCell">
    <xdr:from>
      <xdr:col>2</xdr:col>
      <xdr:colOff>342900</xdr:colOff>
      <xdr:row>183</xdr:row>
      <xdr:rowOff>30480</xdr:rowOff>
    </xdr:from>
    <xdr:to>
      <xdr:col>2</xdr:col>
      <xdr:colOff>419100</xdr:colOff>
      <xdr:row>183</xdr:row>
      <xdr:rowOff>167640</xdr:rowOff>
    </xdr:to>
    <xdr:pic>
      <xdr:nvPicPr>
        <xdr:cNvPr id="3" name="Picture 1" descr="Aritmetik ortalama">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339340" y="34343340"/>
          <a:ext cx="76200" cy="137160"/>
        </a:xfrm>
        <a:prstGeom prst="rect">
          <a:avLst/>
        </a:prstGeom>
        <a:noFill/>
      </xdr:spPr>
    </xdr:pic>
    <xdr:clientData/>
  </xdr:twoCellAnchor>
  <xdr:twoCellAnchor editAs="oneCell">
    <xdr:from>
      <xdr:col>2</xdr:col>
      <xdr:colOff>76200</xdr:colOff>
      <xdr:row>202</xdr:row>
      <xdr:rowOff>22860</xdr:rowOff>
    </xdr:from>
    <xdr:to>
      <xdr:col>2</xdr:col>
      <xdr:colOff>152400</xdr:colOff>
      <xdr:row>202</xdr:row>
      <xdr:rowOff>160020</xdr:rowOff>
    </xdr:to>
    <xdr:pic>
      <xdr:nvPicPr>
        <xdr:cNvPr id="4" name="Picture 1" descr="Aritmetik ortalama">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72640" y="41102280"/>
          <a:ext cx="76200" cy="13716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621196</xdr:colOff>
      <xdr:row>349</xdr:row>
      <xdr:rowOff>8283</xdr:rowOff>
    </xdr:from>
    <xdr:to>
      <xdr:col>3</xdr:col>
      <xdr:colOff>764071</xdr:colOff>
      <xdr:row>350</xdr:row>
      <xdr:rowOff>27333</xdr:rowOff>
    </xdr:to>
    <xdr:pic>
      <xdr:nvPicPr>
        <xdr:cNvPr id="2056" name="Picture 8">
          <a:extLst>
            <a:ext uri="{FF2B5EF4-FFF2-40B4-BE49-F238E27FC236}">
              <a16:creationId xmlns:a16="http://schemas.microsoft.com/office/drawing/2014/main" id="{00000000-0008-0000-0500-00000808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3197087" y="72224348"/>
          <a:ext cx="142875" cy="209550"/>
        </a:xfrm>
        <a:prstGeom prst="rect">
          <a:avLst/>
        </a:prstGeom>
        <a:noFill/>
      </xdr:spPr>
    </xdr:pic>
    <xdr:clientData/>
  </xdr:twoCellAnchor>
  <xdr:twoCellAnchor>
    <xdr:from>
      <xdr:col>4</xdr:col>
      <xdr:colOff>372717</xdr:colOff>
      <xdr:row>348</xdr:row>
      <xdr:rowOff>41413</xdr:rowOff>
    </xdr:from>
    <xdr:to>
      <xdr:col>6</xdr:col>
      <xdr:colOff>53955</xdr:colOff>
      <xdr:row>351</xdr:row>
      <xdr:rowOff>115956</xdr:rowOff>
    </xdr:to>
    <xdr:pic>
      <xdr:nvPicPr>
        <xdr:cNvPr id="2055" name="Picture 7">
          <a:extLst>
            <a:ext uri="{FF2B5EF4-FFF2-40B4-BE49-F238E27FC236}">
              <a16:creationId xmlns:a16="http://schemas.microsoft.com/office/drawing/2014/main" id="{00000000-0008-0000-0500-000007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3826565" y="72066978"/>
          <a:ext cx="1346042" cy="654326"/>
        </a:xfrm>
        <a:prstGeom prst="rect">
          <a:avLst/>
        </a:prstGeom>
        <a:noFill/>
      </xdr:spPr>
    </xdr:pic>
    <xdr:clientData/>
  </xdr:twoCellAnchor>
  <xdr:twoCellAnchor>
    <xdr:from>
      <xdr:col>2</xdr:col>
      <xdr:colOff>737152</xdr:colOff>
      <xdr:row>354</xdr:row>
      <xdr:rowOff>57977</xdr:rowOff>
    </xdr:from>
    <xdr:to>
      <xdr:col>3</xdr:col>
      <xdr:colOff>20707</xdr:colOff>
      <xdr:row>354</xdr:row>
      <xdr:rowOff>217832</xdr:rowOff>
    </xdr:to>
    <xdr:pic>
      <xdr:nvPicPr>
        <xdr:cNvPr id="2060" name="Picture 12">
          <a:extLst>
            <a:ext uri="{FF2B5EF4-FFF2-40B4-BE49-F238E27FC236}">
              <a16:creationId xmlns:a16="http://schemas.microsoft.com/office/drawing/2014/main" id="{00000000-0008-0000-0500-00000C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501348" y="73234825"/>
          <a:ext cx="95250" cy="159855"/>
        </a:xfrm>
        <a:prstGeom prst="rect">
          <a:avLst/>
        </a:prstGeom>
        <a:noFill/>
      </xdr:spPr>
    </xdr:pic>
    <xdr:clientData/>
  </xdr:twoCellAnchor>
  <xdr:twoCellAnchor>
    <xdr:from>
      <xdr:col>3</xdr:col>
      <xdr:colOff>198782</xdr:colOff>
      <xdr:row>354</xdr:row>
      <xdr:rowOff>8282</xdr:rowOff>
    </xdr:from>
    <xdr:to>
      <xdr:col>3</xdr:col>
      <xdr:colOff>732182</xdr:colOff>
      <xdr:row>355</xdr:row>
      <xdr:rowOff>74957</xdr:rowOff>
    </xdr:to>
    <xdr:pic>
      <xdr:nvPicPr>
        <xdr:cNvPr id="2059" name="Picture 11">
          <a:extLst>
            <a:ext uri="{FF2B5EF4-FFF2-40B4-BE49-F238E27FC236}">
              <a16:creationId xmlns:a16="http://schemas.microsoft.com/office/drawing/2014/main" id="{00000000-0008-0000-0500-00000B08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774673" y="73185130"/>
          <a:ext cx="533400" cy="306870"/>
        </a:xfrm>
        <a:prstGeom prst="rect">
          <a:avLst/>
        </a:prstGeom>
        <a:noFill/>
      </xdr:spPr>
    </xdr:pic>
    <xdr:clientData/>
  </xdr:twoCellAnchor>
  <xdr:twoCellAnchor>
    <xdr:from>
      <xdr:col>4</xdr:col>
      <xdr:colOff>563216</xdr:colOff>
      <xdr:row>354</xdr:row>
      <xdr:rowOff>41413</xdr:rowOff>
    </xdr:from>
    <xdr:to>
      <xdr:col>4</xdr:col>
      <xdr:colOff>658466</xdr:colOff>
      <xdr:row>355</xdr:row>
      <xdr:rowOff>10768</xdr:rowOff>
    </xdr:to>
    <xdr:pic>
      <xdr:nvPicPr>
        <xdr:cNvPr id="2058" name="Picture 10">
          <a:extLst>
            <a:ext uri="{FF2B5EF4-FFF2-40B4-BE49-F238E27FC236}">
              <a16:creationId xmlns:a16="http://schemas.microsoft.com/office/drawing/2014/main" id="{00000000-0008-0000-0500-00000A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4017064" y="73218261"/>
          <a:ext cx="95250" cy="209550"/>
        </a:xfrm>
        <a:prstGeom prst="rect">
          <a:avLst/>
        </a:prstGeom>
        <a:noFill/>
      </xdr:spPr>
    </xdr:pic>
    <xdr:clientData/>
  </xdr:twoCellAnchor>
  <xdr:twoCellAnchor>
    <xdr:from>
      <xdr:col>4</xdr:col>
      <xdr:colOff>762000</xdr:colOff>
      <xdr:row>354</xdr:row>
      <xdr:rowOff>8283</xdr:rowOff>
    </xdr:from>
    <xdr:to>
      <xdr:col>5</xdr:col>
      <xdr:colOff>417444</xdr:colOff>
      <xdr:row>355</xdr:row>
      <xdr:rowOff>74958</xdr:rowOff>
    </xdr:to>
    <xdr:pic>
      <xdr:nvPicPr>
        <xdr:cNvPr id="14" name="Picture 11">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4215848" y="73185131"/>
          <a:ext cx="533400" cy="306870"/>
        </a:xfrm>
        <a:prstGeom prst="rect">
          <a:avLst/>
        </a:prstGeom>
        <a:noFill/>
      </xdr:spPr>
    </xdr:pic>
    <xdr:clientData/>
  </xdr:twoCellAnchor>
  <xdr:twoCellAnchor>
    <xdr:from>
      <xdr:col>2</xdr:col>
      <xdr:colOff>381000</xdr:colOff>
      <xdr:row>369</xdr:row>
      <xdr:rowOff>41413</xdr:rowOff>
    </xdr:from>
    <xdr:to>
      <xdr:col>2</xdr:col>
      <xdr:colOff>476250</xdr:colOff>
      <xdr:row>370</xdr:row>
      <xdr:rowOff>10768</xdr:rowOff>
    </xdr:to>
    <xdr:pic>
      <xdr:nvPicPr>
        <xdr:cNvPr id="15" name="Picture 12">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145196" y="76125456"/>
          <a:ext cx="95250" cy="159855"/>
        </a:xfrm>
        <a:prstGeom prst="rect">
          <a:avLst/>
        </a:prstGeom>
        <a:noFill/>
      </xdr:spPr>
    </xdr:pic>
    <xdr:clientData/>
  </xdr:twoCellAnchor>
  <xdr:twoCellAnchor>
    <xdr:from>
      <xdr:col>0</xdr:col>
      <xdr:colOff>91108</xdr:colOff>
      <xdr:row>373</xdr:row>
      <xdr:rowOff>190499</xdr:rowOff>
    </xdr:from>
    <xdr:to>
      <xdr:col>0</xdr:col>
      <xdr:colOff>825344</xdr:colOff>
      <xdr:row>376</xdr:row>
      <xdr:rowOff>41412</xdr:rowOff>
    </xdr:to>
    <xdr:pic>
      <xdr:nvPicPr>
        <xdr:cNvPr id="16" name="Picture 1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91108" y="77094521"/>
          <a:ext cx="734236" cy="422413"/>
        </a:xfrm>
        <a:prstGeom prst="rect">
          <a:avLst/>
        </a:prstGeom>
        <a:noFill/>
      </xdr:spPr>
    </xdr:pic>
    <xdr:clientData/>
  </xdr:twoCellAnchor>
  <xdr:twoCellAnchor>
    <xdr:from>
      <xdr:col>5</xdr:col>
      <xdr:colOff>621196</xdr:colOff>
      <xdr:row>381</xdr:row>
      <xdr:rowOff>8283</xdr:rowOff>
    </xdr:from>
    <xdr:to>
      <xdr:col>5</xdr:col>
      <xdr:colOff>764071</xdr:colOff>
      <xdr:row>382</xdr:row>
      <xdr:rowOff>27333</xdr:rowOff>
    </xdr:to>
    <xdr:pic>
      <xdr:nvPicPr>
        <xdr:cNvPr id="17" name="Picture 8">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3197087" y="72224348"/>
          <a:ext cx="142875" cy="209550"/>
        </a:xfrm>
        <a:prstGeom prst="rect">
          <a:avLst/>
        </a:prstGeom>
        <a:noFill/>
      </xdr:spPr>
    </xdr:pic>
    <xdr:clientData/>
  </xdr:twoCellAnchor>
  <xdr:twoCellAnchor>
    <xdr:from>
      <xdr:col>6</xdr:col>
      <xdr:colOff>372717</xdr:colOff>
      <xdr:row>380</xdr:row>
      <xdr:rowOff>41413</xdr:rowOff>
    </xdr:from>
    <xdr:to>
      <xdr:col>8</xdr:col>
      <xdr:colOff>53955</xdr:colOff>
      <xdr:row>383</xdr:row>
      <xdr:rowOff>115956</xdr:rowOff>
    </xdr:to>
    <xdr:pic>
      <xdr:nvPicPr>
        <xdr:cNvPr id="18" name="Picture 7">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3826565" y="72066978"/>
          <a:ext cx="1420586" cy="654326"/>
        </a:xfrm>
        <a:prstGeom prst="rect">
          <a:avLst/>
        </a:prstGeom>
        <a:noFill/>
      </xdr:spPr>
    </xdr:pic>
    <xdr:clientData/>
  </xdr:twoCellAnchor>
  <xdr:twoCellAnchor>
    <xdr:from>
      <xdr:col>4</xdr:col>
      <xdr:colOff>737152</xdr:colOff>
      <xdr:row>386</xdr:row>
      <xdr:rowOff>57977</xdr:rowOff>
    </xdr:from>
    <xdr:to>
      <xdr:col>5</xdr:col>
      <xdr:colOff>20707</xdr:colOff>
      <xdr:row>386</xdr:row>
      <xdr:rowOff>217832</xdr:rowOff>
    </xdr:to>
    <xdr:pic>
      <xdr:nvPicPr>
        <xdr:cNvPr id="19" name="Picture 12">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501348" y="73234825"/>
          <a:ext cx="95250" cy="159855"/>
        </a:xfrm>
        <a:prstGeom prst="rect">
          <a:avLst/>
        </a:prstGeom>
        <a:noFill/>
      </xdr:spPr>
    </xdr:pic>
    <xdr:clientData/>
  </xdr:twoCellAnchor>
  <xdr:twoCellAnchor>
    <xdr:from>
      <xdr:col>5</xdr:col>
      <xdr:colOff>198782</xdr:colOff>
      <xdr:row>386</xdr:row>
      <xdr:rowOff>8282</xdr:rowOff>
    </xdr:from>
    <xdr:to>
      <xdr:col>5</xdr:col>
      <xdr:colOff>732182</xdr:colOff>
      <xdr:row>387</xdr:row>
      <xdr:rowOff>74957</xdr:rowOff>
    </xdr:to>
    <xdr:pic>
      <xdr:nvPicPr>
        <xdr:cNvPr id="20" name="Picture 11">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774673" y="73185130"/>
          <a:ext cx="533400" cy="306870"/>
        </a:xfrm>
        <a:prstGeom prst="rect">
          <a:avLst/>
        </a:prstGeom>
        <a:noFill/>
      </xdr:spPr>
    </xdr:pic>
    <xdr:clientData/>
  </xdr:twoCellAnchor>
  <xdr:twoCellAnchor>
    <xdr:from>
      <xdr:col>6</xdr:col>
      <xdr:colOff>563216</xdr:colOff>
      <xdr:row>386</xdr:row>
      <xdr:rowOff>41413</xdr:rowOff>
    </xdr:from>
    <xdr:to>
      <xdr:col>6</xdr:col>
      <xdr:colOff>658466</xdr:colOff>
      <xdr:row>387</xdr:row>
      <xdr:rowOff>10768</xdr:rowOff>
    </xdr:to>
    <xdr:pic>
      <xdr:nvPicPr>
        <xdr:cNvPr id="21" name="Picture 10">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4017064" y="73218261"/>
          <a:ext cx="95250" cy="209550"/>
        </a:xfrm>
        <a:prstGeom prst="rect">
          <a:avLst/>
        </a:prstGeom>
        <a:noFill/>
      </xdr:spPr>
    </xdr:pic>
    <xdr:clientData/>
  </xdr:twoCellAnchor>
  <xdr:twoCellAnchor>
    <xdr:from>
      <xdr:col>7</xdr:col>
      <xdr:colOff>33132</xdr:colOff>
      <xdr:row>386</xdr:row>
      <xdr:rowOff>24848</xdr:rowOff>
    </xdr:from>
    <xdr:to>
      <xdr:col>7</xdr:col>
      <xdr:colOff>475423</xdr:colOff>
      <xdr:row>387</xdr:row>
      <xdr:rowOff>91523</xdr:rowOff>
    </xdr:to>
    <xdr:pic>
      <xdr:nvPicPr>
        <xdr:cNvPr id="22" name="Picture 11">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6013175" y="79629000"/>
          <a:ext cx="442291" cy="306871"/>
        </a:xfrm>
        <a:prstGeom prst="rect">
          <a:avLst/>
        </a:prstGeom>
        <a:noFill/>
      </xdr:spPr>
    </xdr:pic>
    <xdr:clientData/>
  </xdr:twoCellAnchor>
  <xdr:twoCellAnchor>
    <xdr:from>
      <xdr:col>0</xdr:col>
      <xdr:colOff>91108</xdr:colOff>
      <xdr:row>399</xdr:row>
      <xdr:rowOff>190499</xdr:rowOff>
    </xdr:from>
    <xdr:to>
      <xdr:col>0</xdr:col>
      <xdr:colOff>825344</xdr:colOff>
      <xdr:row>402</xdr:row>
      <xdr:rowOff>41412</xdr:rowOff>
    </xdr:to>
    <xdr:pic>
      <xdr:nvPicPr>
        <xdr:cNvPr id="23" name="Picture 11">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91108" y="77094521"/>
          <a:ext cx="734236" cy="422413"/>
        </a:xfrm>
        <a:prstGeom prst="rect">
          <a:avLst/>
        </a:prstGeom>
        <a:noFill/>
      </xdr:spPr>
    </xdr:pic>
    <xdr:clientData/>
  </xdr:twoCellAnchor>
  <xdr:twoCellAnchor>
    <xdr:from>
      <xdr:col>0</xdr:col>
      <xdr:colOff>364435</xdr:colOff>
      <xdr:row>413</xdr:row>
      <xdr:rowOff>8285</xdr:rowOff>
    </xdr:from>
    <xdr:to>
      <xdr:col>1</xdr:col>
      <xdr:colOff>4556</xdr:colOff>
      <xdr:row>414</xdr:row>
      <xdr:rowOff>27335</xdr:rowOff>
    </xdr:to>
    <xdr:pic>
      <xdr:nvPicPr>
        <xdr:cNvPr id="2063" name="Picture 15">
          <a:extLst>
            <a:ext uri="{FF2B5EF4-FFF2-40B4-BE49-F238E27FC236}">
              <a16:creationId xmlns:a16="http://schemas.microsoft.com/office/drawing/2014/main" id="{00000000-0008-0000-0500-00000F08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64435" y="84946437"/>
          <a:ext cx="542925" cy="209550"/>
        </a:xfrm>
        <a:prstGeom prst="rect">
          <a:avLst/>
        </a:prstGeom>
        <a:noFill/>
      </xdr:spPr>
    </xdr:pic>
    <xdr:clientData/>
  </xdr:twoCellAnchor>
  <xdr:twoCellAnchor>
    <xdr:from>
      <xdr:col>1</xdr:col>
      <xdr:colOff>115958</xdr:colOff>
      <xdr:row>412</xdr:row>
      <xdr:rowOff>41413</xdr:rowOff>
    </xdr:from>
    <xdr:to>
      <xdr:col>2</xdr:col>
      <xdr:colOff>45141</xdr:colOff>
      <xdr:row>414</xdr:row>
      <xdr:rowOff>186358</xdr:rowOff>
    </xdr:to>
    <xdr:pic>
      <xdr:nvPicPr>
        <xdr:cNvPr id="2062" name="Picture 14">
          <a:extLst>
            <a:ext uri="{FF2B5EF4-FFF2-40B4-BE49-F238E27FC236}">
              <a16:creationId xmlns:a16="http://schemas.microsoft.com/office/drawing/2014/main" id="{00000000-0008-0000-0500-00000E08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018762" y="84789065"/>
          <a:ext cx="790575" cy="525945"/>
        </a:xfrm>
        <a:prstGeom prst="rect">
          <a:avLst/>
        </a:prstGeom>
        <a:noFill/>
      </xdr:spPr>
    </xdr:pic>
    <xdr:clientData/>
  </xdr:twoCellAnchor>
  <xdr:twoCellAnchor>
    <xdr:from>
      <xdr:col>2</xdr:col>
      <xdr:colOff>786847</xdr:colOff>
      <xdr:row>412</xdr:row>
      <xdr:rowOff>157371</xdr:rowOff>
    </xdr:from>
    <xdr:to>
      <xdr:col>4</xdr:col>
      <xdr:colOff>641901</xdr:colOff>
      <xdr:row>414</xdr:row>
      <xdr:rowOff>120513</xdr:rowOff>
    </xdr:to>
    <xdr:pic>
      <xdr:nvPicPr>
        <xdr:cNvPr id="2061" name="Picture 13">
          <a:extLst>
            <a:ext uri="{FF2B5EF4-FFF2-40B4-BE49-F238E27FC236}">
              <a16:creationId xmlns:a16="http://schemas.microsoft.com/office/drawing/2014/main" id="{00000000-0008-0000-0500-00000D08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551043" y="84905023"/>
          <a:ext cx="1544706" cy="344142"/>
        </a:xfrm>
        <a:prstGeom prst="rect">
          <a:avLst/>
        </a:prstGeom>
        <a:noFill/>
      </xdr:spPr>
    </xdr:pic>
    <xdr:clientData/>
  </xdr:twoCellAnchor>
  <xdr:twoCellAnchor>
    <xdr:from>
      <xdr:col>3</xdr:col>
      <xdr:colOff>140805</xdr:colOff>
      <xdr:row>406</xdr:row>
      <xdr:rowOff>41414</xdr:rowOff>
    </xdr:from>
    <xdr:to>
      <xdr:col>3</xdr:col>
      <xdr:colOff>683730</xdr:colOff>
      <xdr:row>407</xdr:row>
      <xdr:rowOff>52181</xdr:rowOff>
    </xdr:to>
    <xdr:pic>
      <xdr:nvPicPr>
        <xdr:cNvPr id="28" name="Picture 15">
          <a:extLst>
            <a:ext uri="{FF2B5EF4-FFF2-40B4-BE49-F238E27FC236}">
              <a16:creationId xmlns:a16="http://schemas.microsoft.com/office/drawing/2014/main" id="{00000000-0008-0000-0500-00001C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16696" y="83778588"/>
          <a:ext cx="542925" cy="209550"/>
        </a:xfrm>
        <a:prstGeom prst="rect">
          <a:avLst/>
        </a:prstGeom>
        <a:noFill/>
      </xdr:spPr>
    </xdr:pic>
    <xdr:clientData/>
  </xdr:twoCellAnchor>
  <xdr:twoCellAnchor>
    <xdr:from>
      <xdr:col>3</xdr:col>
      <xdr:colOff>157369</xdr:colOff>
      <xdr:row>421</xdr:row>
      <xdr:rowOff>41413</xdr:rowOff>
    </xdr:from>
    <xdr:to>
      <xdr:col>3</xdr:col>
      <xdr:colOff>700294</xdr:colOff>
      <xdr:row>422</xdr:row>
      <xdr:rowOff>60463</xdr:rowOff>
    </xdr:to>
    <xdr:pic>
      <xdr:nvPicPr>
        <xdr:cNvPr id="30" name="Picture 15">
          <a:extLst>
            <a:ext uri="{FF2B5EF4-FFF2-40B4-BE49-F238E27FC236}">
              <a16:creationId xmlns:a16="http://schemas.microsoft.com/office/drawing/2014/main" id="{00000000-0008-0000-0500-00001E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33260" y="86917696"/>
          <a:ext cx="542925" cy="209550"/>
        </a:xfrm>
        <a:prstGeom prst="rect">
          <a:avLst/>
        </a:prstGeom>
        <a:noFill/>
      </xdr:spPr>
    </xdr:pic>
    <xdr:clientData/>
  </xdr:twoCellAnchor>
  <xdr:twoCellAnchor>
    <xdr:from>
      <xdr:col>0</xdr:col>
      <xdr:colOff>364435</xdr:colOff>
      <xdr:row>428</xdr:row>
      <xdr:rowOff>8285</xdr:rowOff>
    </xdr:from>
    <xdr:to>
      <xdr:col>1</xdr:col>
      <xdr:colOff>4556</xdr:colOff>
      <xdr:row>429</xdr:row>
      <xdr:rowOff>27335</xdr:rowOff>
    </xdr:to>
    <xdr:pic>
      <xdr:nvPicPr>
        <xdr:cNvPr id="31" name="Picture 15">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64435" y="85087242"/>
          <a:ext cx="542925" cy="209550"/>
        </a:xfrm>
        <a:prstGeom prst="rect">
          <a:avLst/>
        </a:prstGeom>
        <a:noFill/>
      </xdr:spPr>
    </xdr:pic>
    <xdr:clientData/>
  </xdr:twoCellAnchor>
  <xdr:twoCellAnchor>
    <xdr:from>
      <xdr:col>1</xdr:col>
      <xdr:colOff>115958</xdr:colOff>
      <xdr:row>427</xdr:row>
      <xdr:rowOff>41413</xdr:rowOff>
    </xdr:from>
    <xdr:to>
      <xdr:col>2</xdr:col>
      <xdr:colOff>45141</xdr:colOff>
      <xdr:row>429</xdr:row>
      <xdr:rowOff>186358</xdr:rowOff>
    </xdr:to>
    <xdr:pic>
      <xdr:nvPicPr>
        <xdr:cNvPr id="32" name="Picture 14">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018762" y="84929870"/>
          <a:ext cx="790575" cy="525945"/>
        </a:xfrm>
        <a:prstGeom prst="rect">
          <a:avLst/>
        </a:prstGeom>
        <a:noFill/>
      </xdr:spPr>
    </xdr:pic>
    <xdr:clientData/>
  </xdr:twoCellAnchor>
  <xdr:twoCellAnchor>
    <xdr:from>
      <xdr:col>2</xdr:col>
      <xdr:colOff>786847</xdr:colOff>
      <xdr:row>427</xdr:row>
      <xdr:rowOff>157371</xdr:rowOff>
    </xdr:from>
    <xdr:to>
      <xdr:col>4</xdr:col>
      <xdr:colOff>641901</xdr:colOff>
      <xdr:row>429</xdr:row>
      <xdr:rowOff>120513</xdr:rowOff>
    </xdr:to>
    <xdr:pic>
      <xdr:nvPicPr>
        <xdr:cNvPr id="33" name="Picture 13">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551043" y="85045828"/>
          <a:ext cx="1544706" cy="344142"/>
        </a:xfrm>
        <a:prstGeom prst="rect">
          <a:avLst/>
        </a:prstGeom>
        <a:noFill/>
      </xdr:spPr>
    </xdr:pic>
    <xdr:clientData/>
  </xdr:twoCellAnchor>
  <xdr:twoCellAnchor>
    <xdr:from>
      <xdr:col>3</xdr:col>
      <xdr:colOff>157369</xdr:colOff>
      <xdr:row>436</xdr:row>
      <xdr:rowOff>41413</xdr:rowOff>
    </xdr:from>
    <xdr:to>
      <xdr:col>3</xdr:col>
      <xdr:colOff>700294</xdr:colOff>
      <xdr:row>437</xdr:row>
      <xdr:rowOff>60463</xdr:rowOff>
    </xdr:to>
    <xdr:pic>
      <xdr:nvPicPr>
        <xdr:cNvPr id="34" name="Picture 15">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33260" y="86917696"/>
          <a:ext cx="542925" cy="209550"/>
        </a:xfrm>
        <a:prstGeom prst="rect">
          <a:avLst/>
        </a:prstGeom>
        <a:noFill/>
      </xdr:spPr>
    </xdr:pic>
    <xdr:clientData/>
  </xdr:twoCellAnchor>
  <xdr:twoCellAnchor>
    <xdr:from>
      <xdr:col>0</xdr:col>
      <xdr:colOff>364435</xdr:colOff>
      <xdr:row>443</xdr:row>
      <xdr:rowOff>8285</xdr:rowOff>
    </xdr:from>
    <xdr:to>
      <xdr:col>1</xdr:col>
      <xdr:colOff>4556</xdr:colOff>
      <xdr:row>444</xdr:row>
      <xdr:rowOff>27335</xdr:rowOff>
    </xdr:to>
    <xdr:pic>
      <xdr:nvPicPr>
        <xdr:cNvPr id="35" name="Picture 15">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64435" y="88657046"/>
          <a:ext cx="542925" cy="209550"/>
        </a:xfrm>
        <a:prstGeom prst="rect">
          <a:avLst/>
        </a:prstGeom>
        <a:noFill/>
      </xdr:spPr>
    </xdr:pic>
    <xdr:clientData/>
  </xdr:twoCellAnchor>
  <xdr:twoCellAnchor>
    <xdr:from>
      <xdr:col>1</xdr:col>
      <xdr:colOff>115958</xdr:colOff>
      <xdr:row>442</xdr:row>
      <xdr:rowOff>41413</xdr:rowOff>
    </xdr:from>
    <xdr:to>
      <xdr:col>2</xdr:col>
      <xdr:colOff>45141</xdr:colOff>
      <xdr:row>444</xdr:row>
      <xdr:rowOff>186358</xdr:rowOff>
    </xdr:to>
    <xdr:pic>
      <xdr:nvPicPr>
        <xdr:cNvPr id="36" name="Picture 14">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018762" y="88499674"/>
          <a:ext cx="790575" cy="525945"/>
        </a:xfrm>
        <a:prstGeom prst="rect">
          <a:avLst/>
        </a:prstGeom>
        <a:noFill/>
      </xdr:spPr>
    </xdr:pic>
    <xdr:clientData/>
  </xdr:twoCellAnchor>
  <xdr:twoCellAnchor>
    <xdr:from>
      <xdr:col>2</xdr:col>
      <xdr:colOff>786847</xdr:colOff>
      <xdr:row>442</xdr:row>
      <xdr:rowOff>157371</xdr:rowOff>
    </xdr:from>
    <xdr:to>
      <xdr:col>4</xdr:col>
      <xdr:colOff>641901</xdr:colOff>
      <xdr:row>444</xdr:row>
      <xdr:rowOff>120513</xdr:rowOff>
    </xdr:to>
    <xdr:pic>
      <xdr:nvPicPr>
        <xdr:cNvPr id="37" name="Picture 13">
          <a:extLst>
            <a:ext uri="{FF2B5EF4-FFF2-40B4-BE49-F238E27FC236}">
              <a16:creationId xmlns:a16="http://schemas.microsoft.com/office/drawing/2014/main" id="{00000000-0008-0000-0500-000025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551043" y="88615632"/>
          <a:ext cx="1544706" cy="344142"/>
        </a:xfrm>
        <a:prstGeom prst="rect">
          <a:avLst/>
        </a:prstGeom>
        <a:noFill/>
      </xdr:spPr>
    </xdr:pic>
    <xdr:clientData/>
  </xdr:twoCellAnchor>
  <xdr:twoCellAnchor>
    <xdr:from>
      <xdr:col>3</xdr:col>
      <xdr:colOff>157369</xdr:colOff>
      <xdr:row>451</xdr:row>
      <xdr:rowOff>173935</xdr:rowOff>
    </xdr:from>
    <xdr:to>
      <xdr:col>3</xdr:col>
      <xdr:colOff>700294</xdr:colOff>
      <xdr:row>452</xdr:row>
      <xdr:rowOff>60463</xdr:rowOff>
    </xdr:to>
    <xdr:pic>
      <xdr:nvPicPr>
        <xdr:cNvPr id="38" name="Picture 15">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33260" y="94189826"/>
          <a:ext cx="542925" cy="267528"/>
        </a:xfrm>
        <a:prstGeom prst="rect">
          <a:avLst/>
        </a:prstGeom>
        <a:noFill/>
      </xdr:spPr>
    </xdr:pic>
    <xdr:clientData/>
  </xdr:twoCellAnchor>
  <xdr:twoCellAnchor>
    <xdr:from>
      <xdr:col>0</xdr:col>
      <xdr:colOff>364435</xdr:colOff>
      <xdr:row>458</xdr:row>
      <xdr:rowOff>8285</xdr:rowOff>
    </xdr:from>
    <xdr:to>
      <xdr:col>1</xdr:col>
      <xdr:colOff>4556</xdr:colOff>
      <xdr:row>459</xdr:row>
      <xdr:rowOff>27335</xdr:rowOff>
    </xdr:to>
    <xdr:pic>
      <xdr:nvPicPr>
        <xdr:cNvPr id="39" name="Picture 15">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64435" y="92226850"/>
          <a:ext cx="542925" cy="209550"/>
        </a:xfrm>
        <a:prstGeom prst="rect">
          <a:avLst/>
        </a:prstGeom>
        <a:noFill/>
      </xdr:spPr>
    </xdr:pic>
    <xdr:clientData/>
  </xdr:twoCellAnchor>
  <xdr:twoCellAnchor>
    <xdr:from>
      <xdr:col>1</xdr:col>
      <xdr:colOff>115958</xdr:colOff>
      <xdr:row>457</xdr:row>
      <xdr:rowOff>41413</xdr:rowOff>
    </xdr:from>
    <xdr:to>
      <xdr:col>2</xdr:col>
      <xdr:colOff>45141</xdr:colOff>
      <xdr:row>459</xdr:row>
      <xdr:rowOff>186358</xdr:rowOff>
    </xdr:to>
    <xdr:pic>
      <xdr:nvPicPr>
        <xdr:cNvPr id="40" name="Picture 1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018762" y="92069478"/>
          <a:ext cx="790575" cy="525945"/>
        </a:xfrm>
        <a:prstGeom prst="rect">
          <a:avLst/>
        </a:prstGeom>
        <a:noFill/>
      </xdr:spPr>
    </xdr:pic>
    <xdr:clientData/>
  </xdr:twoCellAnchor>
  <xdr:twoCellAnchor>
    <xdr:from>
      <xdr:col>2</xdr:col>
      <xdr:colOff>786847</xdr:colOff>
      <xdr:row>457</xdr:row>
      <xdr:rowOff>157371</xdr:rowOff>
    </xdr:from>
    <xdr:to>
      <xdr:col>4</xdr:col>
      <xdr:colOff>641901</xdr:colOff>
      <xdr:row>459</xdr:row>
      <xdr:rowOff>120513</xdr:rowOff>
    </xdr:to>
    <xdr:pic>
      <xdr:nvPicPr>
        <xdr:cNvPr id="41" name="Picture 13">
          <a:extLst>
            <a:ext uri="{FF2B5EF4-FFF2-40B4-BE49-F238E27FC236}">
              <a16:creationId xmlns:a16="http://schemas.microsoft.com/office/drawing/2014/main" id="{00000000-0008-0000-0500-000029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551043" y="92185436"/>
          <a:ext cx="1544706" cy="344142"/>
        </a:xfrm>
        <a:prstGeom prst="rect">
          <a:avLst/>
        </a:prstGeom>
        <a:noFill/>
      </xdr:spPr>
    </xdr:pic>
    <xdr:clientData/>
  </xdr:twoCellAnchor>
  <xdr:twoCellAnchor>
    <xdr:from>
      <xdr:col>3</xdr:col>
      <xdr:colOff>164989</xdr:colOff>
      <xdr:row>466</xdr:row>
      <xdr:rowOff>111648</xdr:rowOff>
    </xdr:from>
    <xdr:to>
      <xdr:col>3</xdr:col>
      <xdr:colOff>707914</xdr:colOff>
      <xdr:row>466</xdr:row>
      <xdr:rowOff>342899</xdr:rowOff>
    </xdr:to>
    <xdr:pic>
      <xdr:nvPicPr>
        <xdr:cNvPr id="42" name="Picture 15">
          <a:extLst>
            <a:ext uri="{FF2B5EF4-FFF2-40B4-BE49-F238E27FC236}">
              <a16:creationId xmlns:a16="http://schemas.microsoft.com/office/drawing/2014/main" id="{00000000-0008-0000-0500-00002A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961529" y="88473168"/>
          <a:ext cx="542925" cy="231251"/>
        </a:xfrm>
        <a:prstGeom prst="rect">
          <a:avLst/>
        </a:prstGeom>
        <a:noFill/>
      </xdr:spPr>
    </xdr:pic>
    <xdr:clientData/>
  </xdr:twoCellAnchor>
  <xdr:twoCellAnchor>
    <xdr:from>
      <xdr:col>3</xdr:col>
      <xdr:colOff>132522</xdr:colOff>
      <xdr:row>485</xdr:row>
      <xdr:rowOff>132521</xdr:rowOff>
    </xdr:from>
    <xdr:to>
      <xdr:col>3</xdr:col>
      <xdr:colOff>675447</xdr:colOff>
      <xdr:row>486</xdr:row>
      <xdr:rowOff>16565</xdr:rowOff>
    </xdr:to>
    <xdr:pic>
      <xdr:nvPicPr>
        <xdr:cNvPr id="46" name="Picture 15">
          <a:extLst>
            <a:ext uri="{FF2B5EF4-FFF2-40B4-BE49-F238E27FC236}">
              <a16:creationId xmlns:a16="http://schemas.microsoft.com/office/drawing/2014/main" id="{00000000-0008-0000-0500-00002E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08413" y="99913108"/>
          <a:ext cx="542925" cy="265044"/>
        </a:xfrm>
        <a:prstGeom prst="rect">
          <a:avLst/>
        </a:prstGeom>
        <a:noFill/>
      </xdr:spPr>
    </xdr:pic>
    <xdr:clientData/>
  </xdr:twoCellAnchor>
  <xdr:twoCellAnchor>
    <xdr:from>
      <xdr:col>3</xdr:col>
      <xdr:colOff>132521</xdr:colOff>
      <xdr:row>504</xdr:row>
      <xdr:rowOff>45140</xdr:rowOff>
    </xdr:from>
    <xdr:to>
      <xdr:col>3</xdr:col>
      <xdr:colOff>675446</xdr:colOff>
      <xdr:row>505</xdr:row>
      <xdr:rowOff>57978</xdr:rowOff>
    </xdr:to>
    <xdr:pic>
      <xdr:nvPicPr>
        <xdr:cNvPr id="50" name="Picture 15">
          <a:extLst>
            <a:ext uri="{FF2B5EF4-FFF2-40B4-BE49-F238E27FC236}">
              <a16:creationId xmlns:a16="http://schemas.microsoft.com/office/drawing/2014/main" id="{00000000-0008-0000-0500-000032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2708412" y="103147053"/>
          <a:ext cx="542925" cy="203338"/>
        </a:xfrm>
        <a:prstGeom prst="rect">
          <a:avLst/>
        </a:prstGeom>
        <a:noFill/>
      </xdr:spPr>
    </xdr:pic>
    <xdr:clientData/>
  </xdr:twoCellAnchor>
  <xdr:twoCellAnchor>
    <xdr:from>
      <xdr:col>4</xdr:col>
      <xdr:colOff>107673</xdr:colOff>
      <xdr:row>472</xdr:row>
      <xdr:rowOff>165652</xdr:rowOff>
    </xdr:from>
    <xdr:to>
      <xdr:col>4</xdr:col>
      <xdr:colOff>707748</xdr:colOff>
      <xdr:row>474</xdr:row>
      <xdr:rowOff>22777</xdr:rowOff>
    </xdr:to>
    <xdr:pic>
      <xdr:nvPicPr>
        <xdr:cNvPr id="2067" name="Picture 19">
          <a:extLst>
            <a:ext uri="{FF2B5EF4-FFF2-40B4-BE49-F238E27FC236}">
              <a16:creationId xmlns:a16="http://schemas.microsoft.com/office/drawing/2014/main" id="{00000000-0008-0000-0500-000013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3561521" y="98024674"/>
          <a:ext cx="600075" cy="238125"/>
        </a:xfrm>
        <a:prstGeom prst="rect">
          <a:avLst/>
        </a:prstGeom>
        <a:noFill/>
      </xdr:spPr>
    </xdr:pic>
    <xdr:clientData/>
  </xdr:twoCellAnchor>
  <xdr:twoCellAnchor>
    <xdr:from>
      <xdr:col>1</xdr:col>
      <xdr:colOff>207065</xdr:colOff>
      <xdr:row>472</xdr:row>
      <xdr:rowOff>112230</xdr:rowOff>
    </xdr:from>
    <xdr:to>
      <xdr:col>3</xdr:col>
      <xdr:colOff>28574</xdr:colOff>
      <xdr:row>474</xdr:row>
      <xdr:rowOff>161925</xdr:rowOff>
    </xdr:to>
    <xdr:pic>
      <xdr:nvPicPr>
        <xdr:cNvPr id="2066" name="Picture 18">
          <a:extLst>
            <a:ext uri="{FF2B5EF4-FFF2-40B4-BE49-F238E27FC236}">
              <a16:creationId xmlns:a16="http://schemas.microsoft.com/office/drawing/2014/main" id="{00000000-0008-0000-0500-00001208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1111940" y="98410230"/>
          <a:ext cx="1631259" cy="497370"/>
        </a:xfrm>
        <a:prstGeom prst="rect">
          <a:avLst/>
        </a:prstGeom>
        <a:noFill/>
      </xdr:spPr>
    </xdr:pic>
    <xdr:clientData/>
  </xdr:twoCellAnchor>
  <xdr:twoCellAnchor>
    <xdr:from>
      <xdr:col>0</xdr:col>
      <xdr:colOff>265044</xdr:colOff>
      <xdr:row>472</xdr:row>
      <xdr:rowOff>165652</xdr:rowOff>
    </xdr:from>
    <xdr:to>
      <xdr:col>0</xdr:col>
      <xdr:colOff>865119</xdr:colOff>
      <xdr:row>474</xdr:row>
      <xdr:rowOff>22777</xdr:rowOff>
    </xdr:to>
    <xdr:pic>
      <xdr:nvPicPr>
        <xdr:cNvPr id="2065" name="Picture 17">
          <a:extLst>
            <a:ext uri="{FF2B5EF4-FFF2-40B4-BE49-F238E27FC236}">
              <a16:creationId xmlns:a16="http://schemas.microsoft.com/office/drawing/2014/main" id="{00000000-0008-0000-0500-000011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265044" y="98024674"/>
          <a:ext cx="600075" cy="238125"/>
        </a:xfrm>
        <a:prstGeom prst="rect">
          <a:avLst/>
        </a:prstGeom>
        <a:noFill/>
      </xdr:spPr>
    </xdr:pic>
    <xdr:clientData/>
  </xdr:twoCellAnchor>
  <xdr:twoCellAnchor>
    <xdr:from>
      <xdr:col>5</xdr:col>
      <xdr:colOff>245166</xdr:colOff>
      <xdr:row>472</xdr:row>
      <xdr:rowOff>63361</xdr:rowOff>
    </xdr:from>
    <xdr:to>
      <xdr:col>7</xdr:col>
      <xdr:colOff>123825</xdr:colOff>
      <xdr:row>474</xdr:row>
      <xdr:rowOff>171449</xdr:rowOff>
    </xdr:to>
    <xdr:pic>
      <xdr:nvPicPr>
        <xdr:cNvPr id="2064" name="Picture 16">
          <a:extLst>
            <a:ext uri="{FF2B5EF4-FFF2-40B4-BE49-F238E27FC236}">
              <a16:creationId xmlns:a16="http://schemas.microsoft.com/office/drawing/2014/main" id="{00000000-0008-0000-0500-00001008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712391" y="98361361"/>
          <a:ext cx="1526484" cy="555763"/>
        </a:xfrm>
        <a:prstGeom prst="rect">
          <a:avLst/>
        </a:prstGeom>
        <a:noFill/>
      </xdr:spPr>
    </xdr:pic>
    <xdr:clientData/>
  </xdr:twoCellAnchor>
  <xdr:twoCellAnchor>
    <xdr:from>
      <xdr:col>0</xdr:col>
      <xdr:colOff>41413</xdr:colOff>
      <xdr:row>473</xdr:row>
      <xdr:rowOff>228600</xdr:rowOff>
    </xdr:from>
    <xdr:to>
      <xdr:col>1</xdr:col>
      <xdr:colOff>142875</xdr:colOff>
      <xdr:row>476</xdr:row>
      <xdr:rowOff>71645</xdr:rowOff>
    </xdr:to>
    <xdr:pic>
      <xdr:nvPicPr>
        <xdr:cNvPr id="58" name="Picture 18">
          <a:extLst>
            <a:ext uri="{FF2B5EF4-FFF2-40B4-BE49-F238E27FC236}">
              <a16:creationId xmlns:a16="http://schemas.microsoft.com/office/drawing/2014/main" id="{00000000-0008-0000-0500-00003A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r="42894"/>
        <a:stretch>
          <a:fillRect/>
        </a:stretch>
      </xdr:blipFill>
      <xdr:spPr bwMode="auto">
        <a:xfrm>
          <a:off x="41413" y="98717100"/>
          <a:ext cx="1006337" cy="481220"/>
        </a:xfrm>
        <a:prstGeom prst="rect">
          <a:avLst/>
        </a:prstGeom>
        <a:noFill/>
      </xdr:spPr>
    </xdr:pic>
    <xdr:clientData/>
  </xdr:twoCellAnchor>
  <xdr:twoCellAnchor>
    <xdr:from>
      <xdr:col>0</xdr:col>
      <xdr:colOff>123825</xdr:colOff>
      <xdr:row>476</xdr:row>
      <xdr:rowOff>53008</xdr:rowOff>
    </xdr:from>
    <xdr:to>
      <xdr:col>2</xdr:col>
      <xdr:colOff>200025</xdr:colOff>
      <xdr:row>478</xdr:row>
      <xdr:rowOff>171450</xdr:rowOff>
    </xdr:to>
    <xdr:pic>
      <xdr:nvPicPr>
        <xdr:cNvPr id="2068" name="Picture 20">
          <a:extLst>
            <a:ext uri="{FF2B5EF4-FFF2-40B4-BE49-F238E27FC236}">
              <a16:creationId xmlns:a16="http://schemas.microsoft.com/office/drawing/2014/main" id="{00000000-0008-0000-0500-00001408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123825" y="99179683"/>
          <a:ext cx="1838325" cy="499442"/>
        </a:xfrm>
        <a:prstGeom prst="rect">
          <a:avLst/>
        </a:prstGeom>
        <a:noFill/>
      </xdr:spPr>
    </xdr:pic>
    <xdr:clientData/>
  </xdr:twoCellAnchor>
  <xdr:twoCellAnchor>
    <xdr:from>
      <xdr:col>4</xdr:col>
      <xdr:colOff>107673</xdr:colOff>
      <xdr:row>491</xdr:row>
      <xdr:rowOff>165652</xdr:rowOff>
    </xdr:from>
    <xdr:to>
      <xdr:col>4</xdr:col>
      <xdr:colOff>707748</xdr:colOff>
      <xdr:row>493</xdr:row>
      <xdr:rowOff>22777</xdr:rowOff>
    </xdr:to>
    <xdr:pic>
      <xdr:nvPicPr>
        <xdr:cNvPr id="79" name="Picture 19">
          <a:extLst>
            <a:ext uri="{FF2B5EF4-FFF2-40B4-BE49-F238E27FC236}">
              <a16:creationId xmlns:a16="http://schemas.microsoft.com/office/drawing/2014/main" id="{00000000-0008-0000-0500-00004F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3555723" y="98463652"/>
          <a:ext cx="600075" cy="304800"/>
        </a:xfrm>
        <a:prstGeom prst="rect">
          <a:avLst/>
        </a:prstGeom>
        <a:noFill/>
      </xdr:spPr>
    </xdr:pic>
    <xdr:clientData/>
  </xdr:twoCellAnchor>
  <xdr:twoCellAnchor>
    <xdr:from>
      <xdr:col>1</xdr:col>
      <xdr:colOff>207066</xdr:colOff>
      <xdr:row>491</xdr:row>
      <xdr:rowOff>140805</xdr:rowOff>
    </xdr:from>
    <xdr:to>
      <xdr:col>2</xdr:col>
      <xdr:colOff>762000</xdr:colOff>
      <xdr:row>493</xdr:row>
      <xdr:rowOff>55080</xdr:rowOff>
    </xdr:to>
    <xdr:pic>
      <xdr:nvPicPr>
        <xdr:cNvPr id="80" name="Picture 18">
          <a:extLst>
            <a:ext uri="{FF2B5EF4-FFF2-40B4-BE49-F238E27FC236}">
              <a16:creationId xmlns:a16="http://schemas.microsoft.com/office/drawing/2014/main" id="{00000000-0008-0000-0500-000050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1111941" y="98438805"/>
          <a:ext cx="1412184" cy="361950"/>
        </a:xfrm>
        <a:prstGeom prst="rect">
          <a:avLst/>
        </a:prstGeom>
        <a:noFill/>
      </xdr:spPr>
    </xdr:pic>
    <xdr:clientData/>
  </xdr:twoCellAnchor>
  <xdr:twoCellAnchor>
    <xdr:from>
      <xdr:col>0</xdr:col>
      <xdr:colOff>265044</xdr:colOff>
      <xdr:row>491</xdr:row>
      <xdr:rowOff>165652</xdr:rowOff>
    </xdr:from>
    <xdr:to>
      <xdr:col>0</xdr:col>
      <xdr:colOff>865119</xdr:colOff>
      <xdr:row>493</xdr:row>
      <xdr:rowOff>22777</xdr:rowOff>
    </xdr:to>
    <xdr:pic>
      <xdr:nvPicPr>
        <xdr:cNvPr id="81" name="Picture 17">
          <a:extLst>
            <a:ext uri="{FF2B5EF4-FFF2-40B4-BE49-F238E27FC236}">
              <a16:creationId xmlns:a16="http://schemas.microsoft.com/office/drawing/2014/main" id="{00000000-0008-0000-0500-000051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265044" y="98463652"/>
          <a:ext cx="600075" cy="304800"/>
        </a:xfrm>
        <a:prstGeom prst="rect">
          <a:avLst/>
        </a:prstGeom>
        <a:noFill/>
      </xdr:spPr>
    </xdr:pic>
    <xdr:clientData/>
  </xdr:twoCellAnchor>
  <xdr:twoCellAnchor>
    <xdr:from>
      <xdr:col>5</xdr:col>
      <xdr:colOff>207066</xdr:colOff>
      <xdr:row>491</xdr:row>
      <xdr:rowOff>149087</xdr:rowOff>
    </xdr:from>
    <xdr:to>
      <xdr:col>6</xdr:col>
      <xdr:colOff>690355</xdr:colOff>
      <xdr:row>493</xdr:row>
      <xdr:rowOff>35201</xdr:rowOff>
    </xdr:to>
    <xdr:pic>
      <xdr:nvPicPr>
        <xdr:cNvPr id="82" name="Picture 16">
          <a:extLst>
            <a:ext uri="{FF2B5EF4-FFF2-40B4-BE49-F238E27FC236}">
              <a16:creationId xmlns:a16="http://schemas.microsoft.com/office/drawing/2014/main" id="{00000000-0008-0000-0500-000052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531416" y="98447087"/>
          <a:ext cx="1340539" cy="333789"/>
        </a:xfrm>
        <a:prstGeom prst="rect">
          <a:avLst/>
        </a:prstGeom>
        <a:noFill/>
      </xdr:spPr>
    </xdr:pic>
    <xdr:clientData/>
  </xdr:twoCellAnchor>
  <xdr:twoCellAnchor>
    <xdr:from>
      <xdr:col>0</xdr:col>
      <xdr:colOff>41413</xdr:colOff>
      <xdr:row>493</xdr:row>
      <xdr:rowOff>91109</xdr:rowOff>
    </xdr:from>
    <xdr:to>
      <xdr:col>0</xdr:col>
      <xdr:colOff>850232</xdr:colOff>
      <xdr:row>495</xdr:row>
      <xdr:rowOff>71645</xdr:rowOff>
    </xdr:to>
    <xdr:pic>
      <xdr:nvPicPr>
        <xdr:cNvPr id="83" name="Picture 18">
          <a:extLst>
            <a:ext uri="{FF2B5EF4-FFF2-40B4-BE49-F238E27FC236}">
              <a16:creationId xmlns:a16="http://schemas.microsoft.com/office/drawing/2014/main" id="{00000000-0008-0000-0500-000053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r="42894"/>
        <a:stretch>
          <a:fillRect/>
        </a:stretch>
      </xdr:blipFill>
      <xdr:spPr bwMode="auto">
        <a:xfrm>
          <a:off x="41413" y="98836784"/>
          <a:ext cx="808819" cy="361536"/>
        </a:xfrm>
        <a:prstGeom prst="rect">
          <a:avLst/>
        </a:prstGeom>
        <a:noFill/>
      </xdr:spPr>
    </xdr:pic>
    <xdr:clientData/>
  </xdr:twoCellAnchor>
  <xdr:twoCellAnchor>
    <xdr:from>
      <xdr:col>0</xdr:col>
      <xdr:colOff>212448</xdr:colOff>
      <xdr:row>495</xdr:row>
      <xdr:rowOff>148258</xdr:rowOff>
    </xdr:from>
    <xdr:to>
      <xdr:col>2</xdr:col>
      <xdr:colOff>426139</xdr:colOff>
      <xdr:row>498</xdr:row>
      <xdr:rowOff>33958</xdr:rowOff>
    </xdr:to>
    <xdr:pic>
      <xdr:nvPicPr>
        <xdr:cNvPr id="84" name="Picture 20">
          <a:extLst>
            <a:ext uri="{FF2B5EF4-FFF2-40B4-BE49-F238E27FC236}">
              <a16:creationId xmlns:a16="http://schemas.microsoft.com/office/drawing/2014/main" id="{00000000-0008-0000-0500-000054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212448" y="99274933"/>
          <a:ext cx="1975816" cy="457200"/>
        </a:xfrm>
        <a:prstGeom prst="rect">
          <a:avLst/>
        </a:prstGeom>
        <a:noFill/>
      </xdr:spPr>
    </xdr:pic>
    <xdr:clientData/>
  </xdr:twoCellAnchor>
  <xdr:twoCellAnchor>
    <xdr:from>
      <xdr:col>4</xdr:col>
      <xdr:colOff>107673</xdr:colOff>
      <xdr:row>510</xdr:row>
      <xdr:rowOff>165652</xdr:rowOff>
    </xdr:from>
    <xdr:to>
      <xdr:col>4</xdr:col>
      <xdr:colOff>707748</xdr:colOff>
      <xdr:row>512</xdr:row>
      <xdr:rowOff>22777</xdr:rowOff>
    </xdr:to>
    <xdr:pic>
      <xdr:nvPicPr>
        <xdr:cNvPr id="85" name="Picture 19">
          <a:extLst>
            <a:ext uri="{FF2B5EF4-FFF2-40B4-BE49-F238E27FC236}">
              <a16:creationId xmlns:a16="http://schemas.microsoft.com/office/drawing/2014/main" id="{00000000-0008-0000-0500-000055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3555723" y="98463652"/>
          <a:ext cx="600075" cy="304800"/>
        </a:xfrm>
        <a:prstGeom prst="rect">
          <a:avLst/>
        </a:prstGeom>
        <a:noFill/>
      </xdr:spPr>
    </xdr:pic>
    <xdr:clientData/>
  </xdr:twoCellAnchor>
  <xdr:twoCellAnchor>
    <xdr:from>
      <xdr:col>1</xdr:col>
      <xdr:colOff>207066</xdr:colOff>
      <xdr:row>510</xdr:row>
      <xdr:rowOff>140805</xdr:rowOff>
    </xdr:from>
    <xdr:to>
      <xdr:col>2</xdr:col>
      <xdr:colOff>762000</xdr:colOff>
      <xdr:row>512</xdr:row>
      <xdr:rowOff>55080</xdr:rowOff>
    </xdr:to>
    <xdr:pic>
      <xdr:nvPicPr>
        <xdr:cNvPr id="86" name="Picture 18">
          <a:extLst>
            <a:ext uri="{FF2B5EF4-FFF2-40B4-BE49-F238E27FC236}">
              <a16:creationId xmlns:a16="http://schemas.microsoft.com/office/drawing/2014/main" id="{00000000-0008-0000-0500-000056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1111941" y="98438805"/>
          <a:ext cx="1412184" cy="361950"/>
        </a:xfrm>
        <a:prstGeom prst="rect">
          <a:avLst/>
        </a:prstGeom>
        <a:noFill/>
      </xdr:spPr>
    </xdr:pic>
    <xdr:clientData/>
  </xdr:twoCellAnchor>
  <xdr:twoCellAnchor>
    <xdr:from>
      <xdr:col>0</xdr:col>
      <xdr:colOff>265044</xdr:colOff>
      <xdr:row>510</xdr:row>
      <xdr:rowOff>165652</xdr:rowOff>
    </xdr:from>
    <xdr:to>
      <xdr:col>0</xdr:col>
      <xdr:colOff>865119</xdr:colOff>
      <xdr:row>512</xdr:row>
      <xdr:rowOff>22777</xdr:rowOff>
    </xdr:to>
    <xdr:pic>
      <xdr:nvPicPr>
        <xdr:cNvPr id="87" name="Picture 17">
          <a:extLst>
            <a:ext uri="{FF2B5EF4-FFF2-40B4-BE49-F238E27FC236}">
              <a16:creationId xmlns:a16="http://schemas.microsoft.com/office/drawing/2014/main" id="{00000000-0008-0000-0500-000057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265044" y="98463652"/>
          <a:ext cx="600075" cy="304800"/>
        </a:xfrm>
        <a:prstGeom prst="rect">
          <a:avLst/>
        </a:prstGeom>
        <a:noFill/>
      </xdr:spPr>
    </xdr:pic>
    <xdr:clientData/>
  </xdr:twoCellAnchor>
  <xdr:twoCellAnchor>
    <xdr:from>
      <xdr:col>5</xdr:col>
      <xdr:colOff>207066</xdr:colOff>
      <xdr:row>510</xdr:row>
      <xdr:rowOff>149087</xdr:rowOff>
    </xdr:from>
    <xdr:to>
      <xdr:col>6</xdr:col>
      <xdr:colOff>690355</xdr:colOff>
      <xdr:row>512</xdr:row>
      <xdr:rowOff>35201</xdr:rowOff>
    </xdr:to>
    <xdr:pic>
      <xdr:nvPicPr>
        <xdr:cNvPr id="88" name="Picture 16">
          <a:extLst>
            <a:ext uri="{FF2B5EF4-FFF2-40B4-BE49-F238E27FC236}">
              <a16:creationId xmlns:a16="http://schemas.microsoft.com/office/drawing/2014/main" id="{00000000-0008-0000-0500-000058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4531416" y="98447087"/>
          <a:ext cx="1340539" cy="333789"/>
        </a:xfrm>
        <a:prstGeom prst="rect">
          <a:avLst/>
        </a:prstGeom>
        <a:noFill/>
      </xdr:spPr>
    </xdr:pic>
    <xdr:clientData/>
  </xdr:twoCellAnchor>
  <xdr:twoCellAnchor>
    <xdr:from>
      <xdr:col>0</xdr:col>
      <xdr:colOff>41413</xdr:colOff>
      <xdr:row>512</xdr:row>
      <xdr:rowOff>91109</xdr:rowOff>
    </xdr:from>
    <xdr:to>
      <xdr:col>0</xdr:col>
      <xdr:colOff>850232</xdr:colOff>
      <xdr:row>514</xdr:row>
      <xdr:rowOff>71645</xdr:rowOff>
    </xdr:to>
    <xdr:pic>
      <xdr:nvPicPr>
        <xdr:cNvPr id="89" name="Picture 18">
          <a:extLst>
            <a:ext uri="{FF2B5EF4-FFF2-40B4-BE49-F238E27FC236}">
              <a16:creationId xmlns:a16="http://schemas.microsoft.com/office/drawing/2014/main" id="{00000000-0008-0000-0500-000059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r="42894"/>
        <a:stretch>
          <a:fillRect/>
        </a:stretch>
      </xdr:blipFill>
      <xdr:spPr bwMode="auto">
        <a:xfrm>
          <a:off x="41413" y="98836784"/>
          <a:ext cx="808819" cy="361536"/>
        </a:xfrm>
        <a:prstGeom prst="rect">
          <a:avLst/>
        </a:prstGeom>
        <a:noFill/>
      </xdr:spPr>
    </xdr:pic>
    <xdr:clientData/>
  </xdr:twoCellAnchor>
  <xdr:twoCellAnchor>
    <xdr:from>
      <xdr:col>0</xdr:col>
      <xdr:colOff>212448</xdr:colOff>
      <xdr:row>514</xdr:row>
      <xdr:rowOff>148258</xdr:rowOff>
    </xdr:from>
    <xdr:to>
      <xdr:col>2</xdr:col>
      <xdr:colOff>426139</xdr:colOff>
      <xdr:row>517</xdr:row>
      <xdr:rowOff>33958</xdr:rowOff>
    </xdr:to>
    <xdr:pic>
      <xdr:nvPicPr>
        <xdr:cNvPr id="90" name="Picture 20">
          <a:extLst>
            <a:ext uri="{FF2B5EF4-FFF2-40B4-BE49-F238E27FC236}">
              <a16:creationId xmlns:a16="http://schemas.microsoft.com/office/drawing/2014/main" id="{00000000-0008-0000-0500-00005A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212448" y="99274933"/>
          <a:ext cx="1975816" cy="457200"/>
        </a:xfrm>
        <a:prstGeom prst="rect">
          <a:avLst/>
        </a:prstGeom>
        <a:noFill/>
      </xdr:spPr>
    </xdr:pic>
    <xdr:clientData/>
  </xdr:twoCellAnchor>
  <xdr:twoCellAnchor>
    <xdr:from>
      <xdr:col>0</xdr:col>
      <xdr:colOff>0</xdr:colOff>
      <xdr:row>527</xdr:row>
      <xdr:rowOff>0</xdr:rowOff>
    </xdr:from>
    <xdr:to>
      <xdr:col>7</xdr:col>
      <xdr:colOff>571500</xdr:colOff>
      <xdr:row>532</xdr:row>
      <xdr:rowOff>133350</xdr:rowOff>
    </xdr:to>
    <xdr:pic>
      <xdr:nvPicPr>
        <xdr:cNvPr id="2069" name="Picture 21">
          <a:extLst>
            <a:ext uri="{FF2B5EF4-FFF2-40B4-BE49-F238E27FC236}">
              <a16:creationId xmlns:a16="http://schemas.microsoft.com/office/drawing/2014/main" id="{00000000-0008-0000-0500-00001508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09823250"/>
          <a:ext cx="6686550" cy="1085850"/>
        </a:xfrm>
        <a:prstGeom prst="rect">
          <a:avLst/>
        </a:prstGeom>
        <a:noFill/>
      </xdr:spPr>
    </xdr:pic>
    <xdr:clientData/>
  </xdr:twoCellAnchor>
  <xdr:twoCellAnchor>
    <xdr:from>
      <xdr:col>0</xdr:col>
      <xdr:colOff>0</xdr:colOff>
      <xdr:row>543</xdr:row>
      <xdr:rowOff>0</xdr:rowOff>
    </xdr:from>
    <xdr:to>
      <xdr:col>7</xdr:col>
      <xdr:colOff>571500</xdr:colOff>
      <xdr:row>548</xdr:row>
      <xdr:rowOff>133350</xdr:rowOff>
    </xdr:to>
    <xdr:pic>
      <xdr:nvPicPr>
        <xdr:cNvPr id="92" name="Picture 21">
          <a:extLst>
            <a:ext uri="{FF2B5EF4-FFF2-40B4-BE49-F238E27FC236}">
              <a16:creationId xmlns:a16="http://schemas.microsoft.com/office/drawing/2014/main" id="{00000000-0008-0000-0500-00005C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09823250"/>
          <a:ext cx="6686550" cy="1085850"/>
        </a:xfrm>
        <a:prstGeom prst="rect">
          <a:avLst/>
        </a:prstGeom>
        <a:noFill/>
      </xdr:spPr>
    </xdr:pic>
    <xdr:clientData/>
  </xdr:twoCellAnchor>
  <xdr:twoCellAnchor>
    <xdr:from>
      <xdr:col>0</xdr:col>
      <xdr:colOff>0</xdr:colOff>
      <xdr:row>559</xdr:row>
      <xdr:rowOff>0</xdr:rowOff>
    </xdr:from>
    <xdr:to>
      <xdr:col>7</xdr:col>
      <xdr:colOff>571500</xdr:colOff>
      <xdr:row>564</xdr:row>
      <xdr:rowOff>133350</xdr:rowOff>
    </xdr:to>
    <xdr:pic>
      <xdr:nvPicPr>
        <xdr:cNvPr id="93" name="Picture 21">
          <a:extLst>
            <a:ext uri="{FF2B5EF4-FFF2-40B4-BE49-F238E27FC236}">
              <a16:creationId xmlns:a16="http://schemas.microsoft.com/office/drawing/2014/main" id="{00000000-0008-0000-0500-00005D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13147475"/>
          <a:ext cx="6686550" cy="1085850"/>
        </a:xfrm>
        <a:prstGeom prst="rect">
          <a:avLst/>
        </a:prstGeom>
        <a:noFill/>
      </xdr:spPr>
    </xdr:pic>
    <xdr:clientData/>
  </xdr:twoCellAnchor>
  <xdr:twoCellAnchor>
    <xdr:from>
      <xdr:col>0</xdr:col>
      <xdr:colOff>0</xdr:colOff>
      <xdr:row>574</xdr:row>
      <xdr:rowOff>133350</xdr:rowOff>
    </xdr:from>
    <xdr:to>
      <xdr:col>7</xdr:col>
      <xdr:colOff>571500</xdr:colOff>
      <xdr:row>580</xdr:row>
      <xdr:rowOff>76200</xdr:rowOff>
    </xdr:to>
    <xdr:pic>
      <xdr:nvPicPr>
        <xdr:cNvPr id="94" name="Picture 21">
          <a:extLst>
            <a:ext uri="{FF2B5EF4-FFF2-40B4-BE49-F238E27FC236}">
              <a16:creationId xmlns:a16="http://schemas.microsoft.com/office/drawing/2014/main" id="{00000000-0008-0000-0500-00005E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19738775"/>
          <a:ext cx="6686550" cy="1085850"/>
        </a:xfrm>
        <a:prstGeom prst="rect">
          <a:avLst/>
        </a:prstGeom>
        <a:noFill/>
      </xdr:spPr>
    </xdr:pic>
    <xdr:clientData/>
  </xdr:twoCellAnchor>
  <xdr:twoCellAnchor>
    <xdr:from>
      <xdr:col>0</xdr:col>
      <xdr:colOff>0</xdr:colOff>
      <xdr:row>596</xdr:row>
      <xdr:rowOff>0</xdr:rowOff>
    </xdr:from>
    <xdr:to>
      <xdr:col>7</xdr:col>
      <xdr:colOff>571500</xdr:colOff>
      <xdr:row>601</xdr:row>
      <xdr:rowOff>133350</xdr:rowOff>
    </xdr:to>
    <xdr:pic>
      <xdr:nvPicPr>
        <xdr:cNvPr id="96" name="Picture 21">
          <a:extLst>
            <a:ext uri="{FF2B5EF4-FFF2-40B4-BE49-F238E27FC236}">
              <a16:creationId xmlns:a16="http://schemas.microsoft.com/office/drawing/2014/main" id="{00000000-0008-0000-0500-000060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19795925"/>
          <a:ext cx="6686550" cy="1085850"/>
        </a:xfrm>
        <a:prstGeom prst="rect">
          <a:avLst/>
        </a:prstGeom>
        <a:noFill/>
      </xdr:spPr>
    </xdr:pic>
    <xdr:clientData/>
  </xdr:twoCellAnchor>
  <xdr:twoCellAnchor>
    <xdr:from>
      <xdr:col>0</xdr:col>
      <xdr:colOff>0</xdr:colOff>
      <xdr:row>596</xdr:row>
      <xdr:rowOff>0</xdr:rowOff>
    </xdr:from>
    <xdr:to>
      <xdr:col>7</xdr:col>
      <xdr:colOff>571500</xdr:colOff>
      <xdr:row>601</xdr:row>
      <xdr:rowOff>133350</xdr:rowOff>
    </xdr:to>
    <xdr:pic>
      <xdr:nvPicPr>
        <xdr:cNvPr id="97" name="Picture 21">
          <a:extLst>
            <a:ext uri="{FF2B5EF4-FFF2-40B4-BE49-F238E27FC236}">
              <a16:creationId xmlns:a16="http://schemas.microsoft.com/office/drawing/2014/main" id="{00000000-0008-0000-0500-000061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a:stretch>
          <a:fillRect/>
        </a:stretch>
      </xdr:blipFill>
      <xdr:spPr bwMode="auto">
        <a:xfrm>
          <a:off x="0" y="116471700"/>
          <a:ext cx="6686550" cy="1085850"/>
        </a:xfrm>
        <a:prstGeom prst="rect">
          <a:avLst/>
        </a:prstGeom>
        <a:noFill/>
      </xdr:spPr>
    </xdr:pic>
    <xdr:clientData/>
  </xdr:twoCellAnchor>
  <xdr:twoCellAnchor>
    <xdr:from>
      <xdr:col>3</xdr:col>
      <xdr:colOff>152400</xdr:colOff>
      <xdr:row>570</xdr:row>
      <xdr:rowOff>113259</xdr:rowOff>
    </xdr:from>
    <xdr:to>
      <xdr:col>3</xdr:col>
      <xdr:colOff>723900</xdr:colOff>
      <xdr:row>572</xdr:row>
      <xdr:rowOff>104774</xdr:rowOff>
    </xdr:to>
    <xdr:pic>
      <xdr:nvPicPr>
        <xdr:cNvPr id="2070" name="Picture 22">
          <a:extLst>
            <a:ext uri="{FF2B5EF4-FFF2-40B4-BE49-F238E27FC236}">
              <a16:creationId xmlns:a16="http://schemas.microsoft.com/office/drawing/2014/main" id="{00000000-0008-0000-0500-00001608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r="74934"/>
        <a:stretch>
          <a:fillRect/>
        </a:stretch>
      </xdr:blipFill>
      <xdr:spPr bwMode="auto">
        <a:xfrm>
          <a:off x="2867025" y="118937634"/>
          <a:ext cx="571500" cy="391565"/>
        </a:xfrm>
        <a:prstGeom prst="rect">
          <a:avLst/>
        </a:prstGeom>
        <a:noFill/>
      </xdr:spPr>
    </xdr:pic>
    <xdr:clientData/>
  </xdr:twoCellAnchor>
  <xdr:twoCellAnchor>
    <xdr:from>
      <xdr:col>0</xdr:col>
      <xdr:colOff>0</xdr:colOff>
      <xdr:row>581</xdr:row>
      <xdr:rowOff>38100</xdr:rowOff>
    </xdr:from>
    <xdr:to>
      <xdr:col>2</xdr:col>
      <xdr:colOff>130431</xdr:colOff>
      <xdr:row>584</xdr:row>
      <xdr:rowOff>57150</xdr:rowOff>
    </xdr:to>
    <xdr:pic>
      <xdr:nvPicPr>
        <xdr:cNvPr id="99" name="Picture 22">
          <a:extLst>
            <a:ext uri="{FF2B5EF4-FFF2-40B4-BE49-F238E27FC236}">
              <a16:creationId xmlns:a16="http://schemas.microsoft.com/office/drawing/2014/main" id="{00000000-0008-0000-0500-000063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l="44960"/>
        <a:stretch>
          <a:fillRect/>
        </a:stretch>
      </xdr:blipFill>
      <xdr:spPr bwMode="auto">
        <a:xfrm>
          <a:off x="0" y="121605675"/>
          <a:ext cx="1892556" cy="590550"/>
        </a:xfrm>
        <a:prstGeom prst="rect">
          <a:avLst/>
        </a:prstGeom>
        <a:noFill/>
      </xdr:spPr>
    </xdr:pic>
    <xdr:clientData/>
  </xdr:twoCellAnchor>
  <xdr:twoCellAnchor>
    <xdr:from>
      <xdr:col>4</xdr:col>
      <xdr:colOff>409575</xdr:colOff>
      <xdr:row>608</xdr:row>
      <xdr:rowOff>93256</xdr:rowOff>
    </xdr:from>
    <xdr:to>
      <xdr:col>5</xdr:col>
      <xdr:colOff>419100</xdr:colOff>
      <xdr:row>612</xdr:row>
      <xdr:rowOff>128255</xdr:rowOff>
    </xdr:to>
    <xdr:pic>
      <xdr:nvPicPr>
        <xdr:cNvPr id="2049" name="Picture 1">
          <a:extLst>
            <a:ext uri="{FF2B5EF4-FFF2-40B4-BE49-F238E27FC236}">
              <a16:creationId xmlns:a16="http://schemas.microsoft.com/office/drawing/2014/main" id="{00000000-0008-0000-0500-00000108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4000500" y="126156631"/>
          <a:ext cx="885825" cy="844624"/>
        </a:xfrm>
        <a:prstGeom prst="rect">
          <a:avLst/>
        </a:prstGeom>
        <a:noFill/>
      </xdr:spPr>
    </xdr:pic>
    <xdr:clientData/>
  </xdr:twoCellAnchor>
  <xdr:twoCellAnchor>
    <xdr:from>
      <xdr:col>5</xdr:col>
      <xdr:colOff>0</xdr:colOff>
      <xdr:row>619</xdr:row>
      <xdr:rowOff>0</xdr:rowOff>
    </xdr:from>
    <xdr:to>
      <xdr:col>6</xdr:col>
      <xdr:colOff>28575</xdr:colOff>
      <xdr:row>623</xdr:row>
      <xdr:rowOff>82624</xdr:rowOff>
    </xdr:to>
    <xdr:pic>
      <xdr:nvPicPr>
        <xdr:cNvPr id="63" name="Picture 1">
          <a:extLst>
            <a:ext uri="{FF2B5EF4-FFF2-40B4-BE49-F238E27FC236}">
              <a16:creationId xmlns:a16="http://schemas.microsoft.com/office/drawing/2014/main" id="{00000000-0008-0000-0500-00003F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4467225" y="128292225"/>
          <a:ext cx="885825" cy="844624"/>
        </a:xfrm>
        <a:prstGeom prst="rect">
          <a:avLst/>
        </a:prstGeom>
        <a:noFill/>
      </xdr:spPr>
    </xdr:pic>
    <xdr:clientData/>
  </xdr:twoCellAnchor>
  <xdr:twoCellAnchor>
    <xdr:from>
      <xdr:col>5</xdr:col>
      <xdr:colOff>0</xdr:colOff>
      <xdr:row>628</xdr:row>
      <xdr:rowOff>0</xdr:rowOff>
    </xdr:from>
    <xdr:to>
      <xdr:col>6</xdr:col>
      <xdr:colOff>28575</xdr:colOff>
      <xdr:row>632</xdr:row>
      <xdr:rowOff>82624</xdr:rowOff>
    </xdr:to>
    <xdr:pic>
      <xdr:nvPicPr>
        <xdr:cNvPr id="64" name="Picture 1">
          <a:extLst>
            <a:ext uri="{FF2B5EF4-FFF2-40B4-BE49-F238E27FC236}">
              <a16:creationId xmlns:a16="http://schemas.microsoft.com/office/drawing/2014/main" id="{00000000-0008-0000-0500-000040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4467225" y="128292225"/>
          <a:ext cx="885825" cy="949399"/>
        </a:xfrm>
        <a:prstGeom prst="rect">
          <a:avLst/>
        </a:prstGeom>
        <a:noFill/>
      </xdr:spPr>
    </xdr:pic>
    <xdr:clientData/>
  </xdr:twoCellAnchor>
  <xdr:twoCellAnchor>
    <xdr:from>
      <xdr:col>5</xdr:col>
      <xdr:colOff>304800</xdr:colOff>
      <xdr:row>638</xdr:row>
      <xdr:rowOff>47626</xdr:rowOff>
    </xdr:from>
    <xdr:to>
      <xdr:col>6</xdr:col>
      <xdr:colOff>606348</xdr:colOff>
      <xdr:row>640</xdr:row>
      <xdr:rowOff>171451</xdr:rowOff>
    </xdr:to>
    <xdr:pic>
      <xdr:nvPicPr>
        <xdr:cNvPr id="2050" name="Picture 2">
          <a:extLst>
            <a:ext uri="{FF2B5EF4-FFF2-40B4-BE49-F238E27FC236}">
              <a16:creationId xmlns:a16="http://schemas.microsoft.com/office/drawing/2014/main" id="{00000000-0008-0000-0500-00000208000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blip>
        <a:srcRect/>
        <a:stretch>
          <a:fillRect/>
        </a:stretch>
      </xdr:blipFill>
      <xdr:spPr bwMode="auto">
        <a:xfrm>
          <a:off x="4772025" y="132226051"/>
          <a:ext cx="1158798" cy="552450"/>
        </a:xfrm>
        <a:prstGeom prst="rect">
          <a:avLst/>
        </a:prstGeom>
        <a:noFill/>
      </xdr:spPr>
    </xdr:pic>
    <xdr:clientData/>
  </xdr:twoCellAnchor>
  <xdr:twoCellAnchor>
    <xdr:from>
      <xdr:col>5</xdr:col>
      <xdr:colOff>304800</xdr:colOff>
      <xdr:row>643</xdr:row>
      <xdr:rowOff>47626</xdr:rowOff>
    </xdr:from>
    <xdr:to>
      <xdr:col>6</xdr:col>
      <xdr:colOff>606348</xdr:colOff>
      <xdr:row>645</xdr:row>
      <xdr:rowOff>171451</xdr:rowOff>
    </xdr:to>
    <xdr:pic>
      <xdr:nvPicPr>
        <xdr:cNvPr id="66" name="Picture 2">
          <a:extLst>
            <a:ext uri="{FF2B5EF4-FFF2-40B4-BE49-F238E27FC236}">
              <a16:creationId xmlns:a16="http://schemas.microsoft.com/office/drawing/2014/main" id="{00000000-0008-0000-0500-00004200000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blip>
        <a:srcRect/>
        <a:stretch>
          <a:fillRect/>
        </a:stretch>
      </xdr:blipFill>
      <xdr:spPr bwMode="auto">
        <a:xfrm>
          <a:off x="4772025" y="132226051"/>
          <a:ext cx="1158798" cy="609600"/>
        </a:xfrm>
        <a:prstGeom prst="rect">
          <a:avLst/>
        </a:prstGeom>
        <a:noFill/>
      </xdr:spPr>
    </xdr:pic>
    <xdr:clientData/>
  </xdr:twoCellAnchor>
  <xdr:twoCellAnchor>
    <xdr:from>
      <xdr:col>5</xdr:col>
      <xdr:colOff>304800</xdr:colOff>
      <xdr:row>648</xdr:row>
      <xdr:rowOff>47626</xdr:rowOff>
    </xdr:from>
    <xdr:to>
      <xdr:col>6</xdr:col>
      <xdr:colOff>606348</xdr:colOff>
      <xdr:row>650</xdr:row>
      <xdr:rowOff>171451</xdr:rowOff>
    </xdr:to>
    <xdr:pic>
      <xdr:nvPicPr>
        <xdr:cNvPr id="67" name="Picture 2">
          <a:extLst>
            <a:ext uri="{FF2B5EF4-FFF2-40B4-BE49-F238E27FC236}">
              <a16:creationId xmlns:a16="http://schemas.microsoft.com/office/drawing/2014/main" id="{00000000-0008-0000-0500-00004300000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blip>
        <a:srcRect/>
        <a:stretch>
          <a:fillRect/>
        </a:stretch>
      </xdr:blipFill>
      <xdr:spPr bwMode="auto">
        <a:xfrm>
          <a:off x="4772025" y="133311901"/>
          <a:ext cx="1158798" cy="609600"/>
        </a:xfrm>
        <a:prstGeom prst="rect">
          <a:avLst/>
        </a:prstGeom>
        <a:noFill/>
      </xdr:spPr>
    </xdr:pic>
    <xdr:clientData/>
  </xdr:twoCellAnchor>
  <xdr:twoCellAnchor>
    <xdr:from>
      <xdr:col>4</xdr:col>
      <xdr:colOff>285750</xdr:colOff>
      <xdr:row>660</xdr:row>
      <xdr:rowOff>85725</xdr:rowOff>
    </xdr:from>
    <xdr:to>
      <xdr:col>4</xdr:col>
      <xdr:colOff>781050</xdr:colOff>
      <xdr:row>662</xdr:row>
      <xdr:rowOff>123825</xdr:rowOff>
    </xdr:to>
    <xdr:pic>
      <xdr:nvPicPr>
        <xdr:cNvPr id="2051" name="Picture 3">
          <a:extLst>
            <a:ext uri="{FF2B5EF4-FFF2-40B4-BE49-F238E27FC236}">
              <a16:creationId xmlns:a16="http://schemas.microsoft.com/office/drawing/2014/main" id="{00000000-0008-0000-0500-00000308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a:stretch>
          <a:fillRect/>
        </a:stretch>
      </xdr:blipFill>
      <xdr:spPr bwMode="auto">
        <a:xfrm>
          <a:off x="3876675" y="137093325"/>
          <a:ext cx="495300" cy="419100"/>
        </a:xfrm>
        <a:prstGeom prst="rect">
          <a:avLst/>
        </a:prstGeom>
        <a:noFill/>
      </xdr:spPr>
    </xdr:pic>
    <xdr:clientData/>
  </xdr:twoCellAnchor>
  <xdr:twoCellAnchor>
    <xdr:from>
      <xdr:col>5</xdr:col>
      <xdr:colOff>400050</xdr:colOff>
      <xdr:row>660</xdr:row>
      <xdr:rowOff>161925</xdr:rowOff>
    </xdr:from>
    <xdr:to>
      <xdr:col>5</xdr:col>
      <xdr:colOff>600075</xdr:colOff>
      <xdr:row>662</xdr:row>
      <xdr:rowOff>19050</xdr:rowOff>
    </xdr:to>
    <xdr:pic>
      <xdr:nvPicPr>
        <xdr:cNvPr id="2" name="Picture 2">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4867275" y="137169525"/>
          <a:ext cx="200025" cy="238125"/>
        </a:xfrm>
        <a:prstGeom prst="rect">
          <a:avLst/>
        </a:prstGeom>
        <a:noFill/>
      </xdr:spPr>
    </xdr:pic>
    <xdr:clientData/>
  </xdr:twoCellAnchor>
  <xdr:twoCellAnchor>
    <xdr:from>
      <xdr:col>6</xdr:col>
      <xdr:colOff>66675</xdr:colOff>
      <xdr:row>660</xdr:row>
      <xdr:rowOff>57150</xdr:rowOff>
    </xdr:from>
    <xdr:to>
      <xdr:col>6</xdr:col>
      <xdr:colOff>704850</xdr:colOff>
      <xdr:row>662</xdr:row>
      <xdr:rowOff>95250</xdr:rowOff>
    </xdr:to>
    <xdr:pic>
      <xdr:nvPicPr>
        <xdr:cNvPr id="3" name="Picture 1">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5391150" y="137064750"/>
          <a:ext cx="638175" cy="419100"/>
        </a:xfrm>
        <a:prstGeom prst="rect">
          <a:avLst/>
        </a:prstGeom>
        <a:noFill/>
      </xdr:spPr>
    </xdr:pic>
    <xdr:clientData/>
  </xdr:twoCellAnchor>
  <xdr:twoCellAnchor>
    <xdr:from>
      <xdr:col>3</xdr:col>
      <xdr:colOff>285750</xdr:colOff>
      <xdr:row>662</xdr:row>
      <xdr:rowOff>180975</xdr:rowOff>
    </xdr:from>
    <xdr:to>
      <xdr:col>3</xdr:col>
      <xdr:colOff>781050</xdr:colOff>
      <xdr:row>664</xdr:row>
      <xdr:rowOff>171450</xdr:rowOff>
    </xdr:to>
    <xdr:pic>
      <xdr:nvPicPr>
        <xdr:cNvPr id="71" name="Picture 3">
          <a:extLst>
            <a:ext uri="{FF2B5EF4-FFF2-40B4-BE49-F238E27FC236}">
              <a16:creationId xmlns:a16="http://schemas.microsoft.com/office/drawing/2014/main" id="{00000000-0008-0000-0500-00004700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a:stretch>
          <a:fillRect/>
        </a:stretch>
      </xdr:blipFill>
      <xdr:spPr bwMode="auto">
        <a:xfrm>
          <a:off x="3000375" y="137569575"/>
          <a:ext cx="495300" cy="419100"/>
        </a:xfrm>
        <a:prstGeom prst="rect">
          <a:avLst/>
        </a:prstGeom>
        <a:noFill/>
      </xdr:spPr>
    </xdr:pic>
    <xdr:clientData/>
  </xdr:twoCellAnchor>
  <xdr:twoCellAnchor>
    <xdr:from>
      <xdr:col>3</xdr:col>
      <xdr:colOff>180975</xdr:colOff>
      <xdr:row>665</xdr:row>
      <xdr:rowOff>104775</xdr:rowOff>
    </xdr:from>
    <xdr:to>
      <xdr:col>3</xdr:col>
      <xdr:colOff>819150</xdr:colOff>
      <xdr:row>667</xdr:row>
      <xdr:rowOff>142875</xdr:rowOff>
    </xdr:to>
    <xdr:pic>
      <xdr:nvPicPr>
        <xdr:cNvPr id="72" name="Picture 1">
          <a:extLst>
            <a:ext uri="{FF2B5EF4-FFF2-40B4-BE49-F238E27FC236}">
              <a16:creationId xmlns:a16="http://schemas.microsoft.com/office/drawing/2014/main" id="{00000000-0008-0000-0500-000048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2895600" y="138112500"/>
          <a:ext cx="638175" cy="419100"/>
        </a:xfrm>
        <a:prstGeom prst="rect">
          <a:avLst/>
        </a:prstGeom>
        <a:noFill/>
      </xdr:spPr>
    </xdr:pic>
    <xdr:clientData/>
  </xdr:twoCellAnchor>
  <xdr:twoCellAnchor>
    <xdr:from>
      <xdr:col>3</xdr:col>
      <xdr:colOff>114300</xdr:colOff>
      <xdr:row>671</xdr:row>
      <xdr:rowOff>352425</xdr:rowOff>
    </xdr:from>
    <xdr:to>
      <xdr:col>3</xdr:col>
      <xdr:colOff>695325</xdr:colOff>
      <xdr:row>673</xdr:row>
      <xdr:rowOff>47625</xdr:rowOff>
    </xdr:to>
    <xdr:pic>
      <xdr:nvPicPr>
        <xdr:cNvPr id="73" name="Picture 3">
          <a:extLst>
            <a:ext uri="{FF2B5EF4-FFF2-40B4-BE49-F238E27FC236}">
              <a16:creationId xmlns:a16="http://schemas.microsoft.com/office/drawing/2014/main" id="{00000000-0008-0000-0500-00004900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t="51545"/>
        <a:stretch>
          <a:fillRect/>
        </a:stretch>
      </xdr:blipFill>
      <xdr:spPr bwMode="auto">
        <a:xfrm>
          <a:off x="2828925" y="139503150"/>
          <a:ext cx="581025" cy="266700"/>
        </a:xfrm>
        <a:prstGeom prst="rect">
          <a:avLst/>
        </a:prstGeom>
        <a:noFill/>
      </xdr:spPr>
    </xdr:pic>
    <xdr:clientData/>
  </xdr:twoCellAnchor>
  <xdr:twoCellAnchor>
    <xdr:from>
      <xdr:col>3</xdr:col>
      <xdr:colOff>133350</xdr:colOff>
      <xdr:row>672</xdr:row>
      <xdr:rowOff>177925</xdr:rowOff>
    </xdr:from>
    <xdr:to>
      <xdr:col>3</xdr:col>
      <xdr:colOff>771525</xdr:colOff>
      <xdr:row>674</xdr:row>
      <xdr:rowOff>0</xdr:rowOff>
    </xdr:to>
    <xdr:pic>
      <xdr:nvPicPr>
        <xdr:cNvPr id="74" name="Picture 1">
          <a:extLst>
            <a:ext uri="{FF2B5EF4-FFF2-40B4-BE49-F238E27FC236}">
              <a16:creationId xmlns:a16="http://schemas.microsoft.com/office/drawing/2014/main" id="{00000000-0008-0000-0500-00004A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t="51545"/>
        <a:stretch>
          <a:fillRect/>
        </a:stretch>
      </xdr:blipFill>
      <xdr:spPr bwMode="auto">
        <a:xfrm>
          <a:off x="2847975" y="139519150"/>
          <a:ext cx="638175" cy="203075"/>
        </a:xfrm>
        <a:prstGeom prst="rect">
          <a:avLst/>
        </a:prstGeom>
        <a:noFill/>
      </xdr:spPr>
    </xdr:pic>
    <xdr:clientData/>
  </xdr:twoCellAnchor>
  <xdr:twoCellAnchor>
    <xdr:from>
      <xdr:col>2</xdr:col>
      <xdr:colOff>0</xdr:colOff>
      <xdr:row>676</xdr:row>
      <xdr:rowOff>0</xdr:rowOff>
    </xdr:from>
    <xdr:to>
      <xdr:col>3</xdr:col>
      <xdr:colOff>28575</xdr:colOff>
      <xdr:row>680</xdr:row>
      <xdr:rowOff>82624</xdr:rowOff>
    </xdr:to>
    <xdr:pic>
      <xdr:nvPicPr>
        <xdr:cNvPr id="75" name="Picture 1">
          <a:extLst>
            <a:ext uri="{FF2B5EF4-FFF2-40B4-BE49-F238E27FC236}">
              <a16:creationId xmlns:a16="http://schemas.microsoft.com/office/drawing/2014/main" id="{00000000-0008-0000-0500-00004B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4467225" y="130140075"/>
          <a:ext cx="885825" cy="892249"/>
        </a:xfrm>
        <a:prstGeom prst="rect">
          <a:avLst/>
        </a:prstGeom>
        <a:noFill/>
      </xdr:spPr>
    </xdr:pic>
    <xdr:clientData/>
  </xdr:twoCellAnchor>
  <xdr:twoCellAnchor>
    <xdr:from>
      <xdr:col>0</xdr:col>
      <xdr:colOff>0</xdr:colOff>
      <xdr:row>691</xdr:row>
      <xdr:rowOff>0</xdr:rowOff>
    </xdr:from>
    <xdr:to>
      <xdr:col>2</xdr:col>
      <xdr:colOff>447675</xdr:colOff>
      <xdr:row>693</xdr:row>
      <xdr:rowOff>95250</xdr:rowOff>
    </xdr:to>
    <xdr:pic>
      <xdr:nvPicPr>
        <xdr:cNvPr id="5" name="Picture 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0" y="143284575"/>
          <a:ext cx="2209800" cy="476250"/>
        </a:xfrm>
        <a:prstGeom prst="rect">
          <a:avLst/>
        </a:prstGeom>
        <a:noFill/>
      </xdr:spPr>
    </xdr:pic>
    <xdr:clientData/>
  </xdr:twoCellAnchor>
  <xdr:twoCellAnchor>
    <xdr:from>
      <xdr:col>3</xdr:col>
      <xdr:colOff>211830</xdr:colOff>
      <xdr:row>685</xdr:row>
      <xdr:rowOff>76200</xdr:rowOff>
    </xdr:from>
    <xdr:to>
      <xdr:col>3</xdr:col>
      <xdr:colOff>801427</xdr:colOff>
      <xdr:row>687</xdr:row>
      <xdr:rowOff>171450</xdr:rowOff>
    </xdr:to>
    <xdr:pic>
      <xdr:nvPicPr>
        <xdr:cNvPr id="95" name="Picture 8">
          <a:extLst>
            <a:ext uri="{FF2B5EF4-FFF2-40B4-BE49-F238E27FC236}">
              <a16:creationId xmlns:a16="http://schemas.microsoft.com/office/drawing/2014/main" id="{00000000-0008-0000-0500-00005F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l="13034" r="60284"/>
        <a:stretch>
          <a:fillRect/>
        </a:stretch>
      </xdr:blipFill>
      <xdr:spPr bwMode="auto">
        <a:xfrm>
          <a:off x="2926455" y="142217775"/>
          <a:ext cx="589597" cy="476250"/>
        </a:xfrm>
        <a:prstGeom prst="rect">
          <a:avLst/>
        </a:prstGeom>
        <a:noFill/>
      </xdr:spPr>
    </xdr:pic>
    <xdr:clientData/>
  </xdr:twoCellAnchor>
  <xdr:twoCellAnchor>
    <xdr:from>
      <xdr:col>0</xdr:col>
      <xdr:colOff>0</xdr:colOff>
      <xdr:row>703</xdr:row>
      <xdr:rowOff>0</xdr:rowOff>
    </xdr:from>
    <xdr:to>
      <xdr:col>2</xdr:col>
      <xdr:colOff>447675</xdr:colOff>
      <xdr:row>705</xdr:row>
      <xdr:rowOff>95250</xdr:rowOff>
    </xdr:to>
    <xdr:pic>
      <xdr:nvPicPr>
        <xdr:cNvPr id="98" name="Picture 8">
          <a:extLst>
            <a:ext uri="{FF2B5EF4-FFF2-40B4-BE49-F238E27FC236}">
              <a16:creationId xmlns:a16="http://schemas.microsoft.com/office/drawing/2014/main" id="{00000000-0008-0000-0500-000062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0" y="143532225"/>
          <a:ext cx="2209800" cy="476250"/>
        </a:xfrm>
        <a:prstGeom prst="rect">
          <a:avLst/>
        </a:prstGeom>
        <a:noFill/>
      </xdr:spPr>
    </xdr:pic>
    <xdr:clientData/>
  </xdr:twoCellAnchor>
  <xdr:twoCellAnchor>
    <xdr:from>
      <xdr:col>3</xdr:col>
      <xdr:colOff>211830</xdr:colOff>
      <xdr:row>697</xdr:row>
      <xdr:rowOff>76200</xdr:rowOff>
    </xdr:from>
    <xdr:to>
      <xdr:col>3</xdr:col>
      <xdr:colOff>801427</xdr:colOff>
      <xdr:row>699</xdr:row>
      <xdr:rowOff>171450</xdr:rowOff>
    </xdr:to>
    <xdr:pic>
      <xdr:nvPicPr>
        <xdr:cNvPr id="100" name="Picture 8">
          <a:extLst>
            <a:ext uri="{FF2B5EF4-FFF2-40B4-BE49-F238E27FC236}">
              <a16:creationId xmlns:a16="http://schemas.microsoft.com/office/drawing/2014/main" id="{00000000-0008-0000-0500-000064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l="13034" r="60284"/>
        <a:stretch>
          <a:fillRect/>
        </a:stretch>
      </xdr:blipFill>
      <xdr:spPr bwMode="auto">
        <a:xfrm>
          <a:off x="2926455" y="142217775"/>
          <a:ext cx="589597" cy="476250"/>
        </a:xfrm>
        <a:prstGeom prst="rect">
          <a:avLst/>
        </a:prstGeom>
        <a:noFill/>
      </xdr:spPr>
    </xdr:pic>
    <xdr:clientData/>
  </xdr:twoCellAnchor>
  <xdr:twoCellAnchor>
    <xdr:from>
      <xdr:col>3</xdr:col>
      <xdr:colOff>281940</xdr:colOff>
      <xdr:row>719</xdr:row>
      <xdr:rowOff>129540</xdr:rowOff>
    </xdr:from>
    <xdr:to>
      <xdr:col>5</xdr:col>
      <xdr:colOff>731520</xdr:colOff>
      <xdr:row>722</xdr:row>
      <xdr:rowOff>106680</xdr:rowOff>
    </xdr:to>
    <xdr:pic>
      <xdr:nvPicPr>
        <xdr:cNvPr id="4" name="Picture 1">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3078480" y="138074400"/>
          <a:ext cx="2247900" cy="502920"/>
        </a:xfrm>
        <a:prstGeom prst="rect">
          <a:avLst/>
        </a:prstGeom>
        <a:noFill/>
      </xdr:spPr>
    </xdr:pic>
    <xdr:clientData/>
  </xdr:twoCellAnchor>
  <xdr:twoCellAnchor>
    <xdr:from>
      <xdr:col>3</xdr:col>
      <xdr:colOff>15240</xdr:colOff>
      <xdr:row>727</xdr:row>
      <xdr:rowOff>137160</xdr:rowOff>
    </xdr:from>
    <xdr:to>
      <xdr:col>3</xdr:col>
      <xdr:colOff>823259</xdr:colOff>
      <xdr:row>730</xdr:row>
      <xdr:rowOff>114300</xdr:rowOff>
    </xdr:to>
    <xdr:pic>
      <xdr:nvPicPr>
        <xdr:cNvPr id="104" name="Picture 1">
          <a:extLst>
            <a:ext uri="{FF2B5EF4-FFF2-40B4-BE49-F238E27FC236}">
              <a16:creationId xmlns:a16="http://schemas.microsoft.com/office/drawing/2014/main" id="{00000000-0008-0000-0500-000068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r="64054"/>
        <a:stretch>
          <a:fillRect/>
        </a:stretch>
      </xdr:blipFill>
      <xdr:spPr bwMode="auto">
        <a:xfrm>
          <a:off x="2811780" y="139019280"/>
          <a:ext cx="808019" cy="502920"/>
        </a:xfrm>
        <a:prstGeom prst="rect">
          <a:avLst/>
        </a:prstGeom>
        <a:noFill/>
      </xdr:spPr>
    </xdr:pic>
    <xdr:clientData/>
  </xdr:twoCellAnchor>
  <xdr:twoCellAnchor>
    <xdr:from>
      <xdr:col>3</xdr:col>
      <xdr:colOff>68580</xdr:colOff>
      <xdr:row>722</xdr:row>
      <xdr:rowOff>153755</xdr:rowOff>
    </xdr:from>
    <xdr:to>
      <xdr:col>3</xdr:col>
      <xdr:colOff>840592</xdr:colOff>
      <xdr:row>724</xdr:row>
      <xdr:rowOff>60960</xdr:rowOff>
    </xdr:to>
    <xdr:pic>
      <xdr:nvPicPr>
        <xdr:cNvPr id="105" name="Picture 1">
          <a:extLst>
            <a:ext uri="{FF2B5EF4-FFF2-40B4-BE49-F238E27FC236}">
              <a16:creationId xmlns:a16="http://schemas.microsoft.com/office/drawing/2014/main" id="{00000000-0008-0000-0500-000069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t="47240" r="65656"/>
        <a:stretch>
          <a:fillRect/>
        </a:stretch>
      </xdr:blipFill>
      <xdr:spPr bwMode="auto">
        <a:xfrm>
          <a:off x="2865120" y="138677735"/>
          <a:ext cx="772012" cy="265345"/>
        </a:xfrm>
        <a:prstGeom prst="rect">
          <a:avLst/>
        </a:prstGeom>
        <a:noFill/>
      </xdr:spPr>
    </xdr:pic>
    <xdr:clientData/>
  </xdr:twoCellAnchor>
  <xdr:twoCellAnchor>
    <xdr:from>
      <xdr:col>3</xdr:col>
      <xdr:colOff>45422</xdr:colOff>
      <xdr:row>724</xdr:row>
      <xdr:rowOff>138515</xdr:rowOff>
    </xdr:from>
    <xdr:to>
      <xdr:col>3</xdr:col>
      <xdr:colOff>853440</xdr:colOff>
      <xdr:row>726</xdr:row>
      <xdr:rowOff>53340</xdr:rowOff>
    </xdr:to>
    <xdr:pic>
      <xdr:nvPicPr>
        <xdr:cNvPr id="106" name="Picture 1">
          <a:extLst>
            <a:ext uri="{FF2B5EF4-FFF2-40B4-BE49-F238E27FC236}">
              <a16:creationId xmlns:a16="http://schemas.microsoft.com/office/drawing/2014/main" id="{00000000-0008-0000-0500-00006A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l="64054" t="47240"/>
        <a:stretch>
          <a:fillRect/>
        </a:stretch>
      </xdr:blipFill>
      <xdr:spPr bwMode="auto">
        <a:xfrm>
          <a:off x="2841962" y="139020635"/>
          <a:ext cx="808018" cy="265345"/>
        </a:xfrm>
        <a:prstGeom prst="rect">
          <a:avLst/>
        </a:prstGeom>
        <a:noFill/>
      </xdr:spPr>
    </xdr:pic>
    <xdr:clientData/>
  </xdr:twoCellAnchor>
  <xdr:twoCellAnchor>
    <xdr:from>
      <xdr:col>3</xdr:col>
      <xdr:colOff>7320</xdr:colOff>
      <xdr:row>731</xdr:row>
      <xdr:rowOff>7620</xdr:rowOff>
    </xdr:from>
    <xdr:to>
      <xdr:col>3</xdr:col>
      <xdr:colOff>815340</xdr:colOff>
      <xdr:row>733</xdr:row>
      <xdr:rowOff>160020</xdr:rowOff>
    </xdr:to>
    <xdr:pic>
      <xdr:nvPicPr>
        <xdr:cNvPr id="107" name="Picture 1">
          <a:extLst>
            <a:ext uri="{FF2B5EF4-FFF2-40B4-BE49-F238E27FC236}">
              <a16:creationId xmlns:a16="http://schemas.microsoft.com/office/drawing/2014/main" id="{00000000-0008-0000-0500-00006B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l="64054"/>
        <a:stretch>
          <a:fillRect/>
        </a:stretch>
      </xdr:blipFill>
      <xdr:spPr bwMode="auto">
        <a:xfrm>
          <a:off x="2803860" y="140116560"/>
          <a:ext cx="808020" cy="502920"/>
        </a:xfrm>
        <a:prstGeom prst="rect">
          <a:avLst/>
        </a:prstGeom>
        <a:noFill/>
      </xdr:spPr>
    </xdr:pic>
    <xdr:clientData/>
  </xdr:twoCellAnchor>
  <xdr:twoCellAnchor>
    <xdr:from>
      <xdr:col>4</xdr:col>
      <xdr:colOff>211830</xdr:colOff>
      <xdr:row>742</xdr:row>
      <xdr:rowOff>76200</xdr:rowOff>
    </xdr:from>
    <xdr:to>
      <xdr:col>4</xdr:col>
      <xdr:colOff>801427</xdr:colOff>
      <xdr:row>744</xdr:row>
      <xdr:rowOff>171450</xdr:rowOff>
    </xdr:to>
    <xdr:pic>
      <xdr:nvPicPr>
        <xdr:cNvPr id="108" name="Picture 8">
          <a:extLst>
            <a:ext uri="{FF2B5EF4-FFF2-40B4-BE49-F238E27FC236}">
              <a16:creationId xmlns:a16="http://schemas.microsoft.com/office/drawing/2014/main" id="{00000000-0008-0000-0500-00006C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l="13034" r="60284"/>
        <a:stretch>
          <a:fillRect/>
        </a:stretch>
      </xdr:blipFill>
      <xdr:spPr bwMode="auto">
        <a:xfrm>
          <a:off x="3008370" y="136611360"/>
          <a:ext cx="589597" cy="506730"/>
        </a:xfrm>
        <a:prstGeom prst="rect">
          <a:avLst/>
        </a:prstGeom>
        <a:noFill/>
      </xdr:spPr>
    </xdr:pic>
    <xdr:clientData/>
  </xdr:twoCellAnchor>
  <xdr:twoCellAnchor>
    <xdr:from>
      <xdr:col>4</xdr:col>
      <xdr:colOff>0</xdr:colOff>
      <xdr:row>750</xdr:row>
      <xdr:rowOff>129540</xdr:rowOff>
    </xdr:from>
    <xdr:to>
      <xdr:col>6</xdr:col>
      <xdr:colOff>579120</xdr:colOff>
      <xdr:row>753</xdr:row>
      <xdr:rowOff>106680</xdr:rowOff>
    </xdr:to>
    <xdr:pic>
      <xdr:nvPicPr>
        <xdr:cNvPr id="110" name="Picture 1">
          <a:extLst>
            <a:ext uri="{FF2B5EF4-FFF2-40B4-BE49-F238E27FC236}">
              <a16:creationId xmlns:a16="http://schemas.microsoft.com/office/drawing/2014/main" id="{00000000-0008-0000-0500-00006E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3695700" y="144193260"/>
          <a:ext cx="2362200" cy="502920"/>
        </a:xfrm>
        <a:prstGeom prst="rect">
          <a:avLst/>
        </a:prstGeom>
        <a:noFill/>
      </xdr:spPr>
    </xdr:pic>
    <xdr:clientData/>
  </xdr:twoCellAnchor>
  <xdr:twoCellAnchor>
    <xdr:from>
      <xdr:col>4</xdr:col>
      <xdr:colOff>15240</xdr:colOff>
      <xdr:row>758</xdr:row>
      <xdr:rowOff>137160</xdr:rowOff>
    </xdr:from>
    <xdr:to>
      <xdr:col>4</xdr:col>
      <xdr:colOff>823259</xdr:colOff>
      <xdr:row>761</xdr:row>
      <xdr:rowOff>114300</xdr:rowOff>
    </xdr:to>
    <xdr:pic>
      <xdr:nvPicPr>
        <xdr:cNvPr id="111" name="Picture 1">
          <a:extLst>
            <a:ext uri="{FF2B5EF4-FFF2-40B4-BE49-F238E27FC236}">
              <a16:creationId xmlns:a16="http://schemas.microsoft.com/office/drawing/2014/main" id="{00000000-0008-0000-0500-00006F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r="64054"/>
        <a:stretch>
          <a:fillRect/>
        </a:stretch>
      </xdr:blipFill>
      <xdr:spPr bwMode="auto">
        <a:xfrm>
          <a:off x="2811780" y="139545060"/>
          <a:ext cx="808019" cy="502920"/>
        </a:xfrm>
        <a:prstGeom prst="rect">
          <a:avLst/>
        </a:prstGeom>
        <a:noFill/>
      </xdr:spPr>
    </xdr:pic>
    <xdr:clientData/>
  </xdr:twoCellAnchor>
  <xdr:twoCellAnchor>
    <xdr:from>
      <xdr:col>4</xdr:col>
      <xdr:colOff>68580</xdr:colOff>
      <xdr:row>753</xdr:row>
      <xdr:rowOff>153755</xdr:rowOff>
    </xdr:from>
    <xdr:to>
      <xdr:col>4</xdr:col>
      <xdr:colOff>840592</xdr:colOff>
      <xdr:row>755</xdr:row>
      <xdr:rowOff>60960</xdr:rowOff>
    </xdr:to>
    <xdr:pic>
      <xdr:nvPicPr>
        <xdr:cNvPr id="112" name="Picture 1">
          <a:extLst>
            <a:ext uri="{FF2B5EF4-FFF2-40B4-BE49-F238E27FC236}">
              <a16:creationId xmlns:a16="http://schemas.microsoft.com/office/drawing/2014/main" id="{00000000-0008-0000-0500-000070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t="47240" r="65656"/>
        <a:stretch>
          <a:fillRect/>
        </a:stretch>
      </xdr:blipFill>
      <xdr:spPr bwMode="auto">
        <a:xfrm>
          <a:off x="2865120" y="138677735"/>
          <a:ext cx="772012" cy="265345"/>
        </a:xfrm>
        <a:prstGeom prst="rect">
          <a:avLst/>
        </a:prstGeom>
        <a:noFill/>
      </xdr:spPr>
    </xdr:pic>
    <xdr:clientData/>
  </xdr:twoCellAnchor>
  <xdr:twoCellAnchor>
    <xdr:from>
      <xdr:col>4</xdr:col>
      <xdr:colOff>45422</xdr:colOff>
      <xdr:row>755</xdr:row>
      <xdr:rowOff>138515</xdr:rowOff>
    </xdr:from>
    <xdr:to>
      <xdr:col>4</xdr:col>
      <xdr:colOff>853440</xdr:colOff>
      <xdr:row>757</xdr:row>
      <xdr:rowOff>53340</xdr:rowOff>
    </xdr:to>
    <xdr:pic>
      <xdr:nvPicPr>
        <xdr:cNvPr id="113" name="Picture 1">
          <a:extLst>
            <a:ext uri="{FF2B5EF4-FFF2-40B4-BE49-F238E27FC236}">
              <a16:creationId xmlns:a16="http://schemas.microsoft.com/office/drawing/2014/main" id="{00000000-0008-0000-0500-000071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l="64054" t="47240"/>
        <a:stretch>
          <a:fillRect/>
        </a:stretch>
      </xdr:blipFill>
      <xdr:spPr bwMode="auto">
        <a:xfrm>
          <a:off x="2841962" y="139020635"/>
          <a:ext cx="808018" cy="265345"/>
        </a:xfrm>
        <a:prstGeom prst="rect">
          <a:avLst/>
        </a:prstGeom>
        <a:noFill/>
      </xdr:spPr>
    </xdr:pic>
    <xdr:clientData/>
  </xdr:twoCellAnchor>
  <xdr:twoCellAnchor>
    <xdr:from>
      <xdr:col>4</xdr:col>
      <xdr:colOff>7320</xdr:colOff>
      <xdr:row>762</xdr:row>
      <xdr:rowOff>7620</xdr:rowOff>
    </xdr:from>
    <xdr:to>
      <xdr:col>4</xdr:col>
      <xdr:colOff>815340</xdr:colOff>
      <xdr:row>764</xdr:row>
      <xdr:rowOff>160020</xdr:rowOff>
    </xdr:to>
    <xdr:pic>
      <xdr:nvPicPr>
        <xdr:cNvPr id="114" name="Picture 1">
          <a:extLst>
            <a:ext uri="{FF2B5EF4-FFF2-40B4-BE49-F238E27FC236}">
              <a16:creationId xmlns:a16="http://schemas.microsoft.com/office/drawing/2014/main" id="{00000000-0008-0000-0500-000072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l="64054"/>
        <a:stretch>
          <a:fillRect/>
        </a:stretch>
      </xdr:blipFill>
      <xdr:spPr bwMode="auto">
        <a:xfrm>
          <a:off x="2803860" y="140116560"/>
          <a:ext cx="808020" cy="502920"/>
        </a:xfrm>
        <a:prstGeom prst="rect">
          <a:avLst/>
        </a:prstGeom>
        <a:noFill/>
      </xdr:spPr>
    </xdr:pic>
    <xdr:clientData/>
  </xdr:twoCellAnchor>
  <xdr:twoCellAnchor>
    <xdr:from>
      <xdr:col>3</xdr:col>
      <xdr:colOff>0</xdr:colOff>
      <xdr:row>710</xdr:row>
      <xdr:rowOff>0</xdr:rowOff>
    </xdr:from>
    <xdr:to>
      <xdr:col>6</xdr:col>
      <xdr:colOff>15240</xdr:colOff>
      <xdr:row>712</xdr:row>
      <xdr:rowOff>106680</xdr:rowOff>
    </xdr:to>
    <xdr:pic>
      <xdr:nvPicPr>
        <xdr:cNvPr id="6" name="Picture 2">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2796540" y="136184640"/>
          <a:ext cx="2697480" cy="464820"/>
        </a:xfrm>
        <a:prstGeom prst="rect">
          <a:avLst/>
        </a:prstGeom>
        <a:noFill/>
      </xdr:spPr>
    </xdr:pic>
    <xdr:clientData/>
  </xdr:twoCellAnchor>
  <xdr:twoCellAnchor>
    <xdr:from>
      <xdr:col>2</xdr:col>
      <xdr:colOff>981440</xdr:colOff>
      <xdr:row>712</xdr:row>
      <xdr:rowOff>160020</xdr:rowOff>
    </xdr:from>
    <xdr:to>
      <xdr:col>3</xdr:col>
      <xdr:colOff>824085</xdr:colOff>
      <xdr:row>715</xdr:row>
      <xdr:rowOff>38100</xdr:rowOff>
    </xdr:to>
    <xdr:pic>
      <xdr:nvPicPr>
        <xdr:cNvPr id="115" name="Picture 2">
          <a:extLst>
            <a:ext uri="{FF2B5EF4-FFF2-40B4-BE49-F238E27FC236}">
              <a16:creationId xmlns:a16="http://schemas.microsoft.com/office/drawing/2014/main" id="{00000000-0008-0000-0500-000073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l="10676" r="58716"/>
        <a:stretch>
          <a:fillRect/>
        </a:stretch>
      </xdr:blipFill>
      <xdr:spPr bwMode="auto">
        <a:xfrm>
          <a:off x="2795000" y="136702800"/>
          <a:ext cx="825625" cy="464820"/>
        </a:xfrm>
        <a:prstGeom prst="rect">
          <a:avLst/>
        </a:prstGeom>
        <a:noFill/>
      </xdr:spPr>
    </xdr:pic>
    <xdr:clientData/>
  </xdr:twoCellAnchor>
  <xdr:twoCellAnchor>
    <xdr:from>
      <xdr:col>0</xdr:col>
      <xdr:colOff>91440</xdr:colOff>
      <xdr:row>712</xdr:row>
      <xdr:rowOff>0</xdr:rowOff>
    </xdr:from>
    <xdr:to>
      <xdr:col>0</xdr:col>
      <xdr:colOff>701086</xdr:colOff>
      <xdr:row>712</xdr:row>
      <xdr:rowOff>153654</xdr:rowOff>
    </xdr:to>
    <xdr:pic>
      <xdr:nvPicPr>
        <xdr:cNvPr id="116" name="Picture 2">
          <a:extLst>
            <a:ext uri="{FF2B5EF4-FFF2-40B4-BE49-F238E27FC236}">
              <a16:creationId xmlns:a16="http://schemas.microsoft.com/office/drawing/2014/main" id="{00000000-0008-0000-0500-000074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l="10676" r="66723" b="61954"/>
        <a:stretch>
          <a:fillRect/>
        </a:stretch>
      </xdr:blipFill>
      <xdr:spPr bwMode="auto">
        <a:xfrm>
          <a:off x="91440" y="136542780"/>
          <a:ext cx="609646" cy="153654"/>
        </a:xfrm>
        <a:prstGeom prst="rect">
          <a:avLst/>
        </a:prstGeom>
        <a:noFill/>
      </xdr:spPr>
    </xdr:pic>
    <xdr:clientData/>
  </xdr:twoCellAnchor>
  <xdr:twoCellAnchor>
    <xdr:from>
      <xdr:col>4</xdr:col>
      <xdr:colOff>91440</xdr:colOff>
      <xdr:row>739</xdr:row>
      <xdr:rowOff>60960</xdr:rowOff>
    </xdr:from>
    <xdr:to>
      <xdr:col>7</xdr:col>
      <xdr:colOff>190500</xdr:colOff>
      <xdr:row>742</xdr:row>
      <xdr:rowOff>0</xdr:rowOff>
    </xdr:to>
    <xdr:pic>
      <xdr:nvPicPr>
        <xdr:cNvPr id="117" name="Picture 2">
          <a:extLst>
            <a:ext uri="{FF2B5EF4-FFF2-40B4-BE49-F238E27FC236}">
              <a16:creationId xmlns:a16="http://schemas.microsoft.com/office/drawing/2014/main" id="{00000000-0008-0000-0500-000075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3787140" y="141907260"/>
          <a:ext cx="2697480" cy="464820"/>
        </a:xfrm>
        <a:prstGeom prst="rect">
          <a:avLst/>
        </a:prstGeom>
        <a:noFill/>
      </xdr:spPr>
    </xdr:pic>
    <xdr:clientData/>
  </xdr:twoCellAnchor>
  <xdr:twoCellAnchor>
    <xdr:from>
      <xdr:col>0</xdr:col>
      <xdr:colOff>0</xdr:colOff>
      <xdr:row>830</xdr:row>
      <xdr:rowOff>0</xdr:rowOff>
    </xdr:from>
    <xdr:to>
      <xdr:col>2</xdr:col>
      <xdr:colOff>822960</xdr:colOff>
      <xdr:row>831</xdr:row>
      <xdr:rowOff>106680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0" y="159425640"/>
          <a:ext cx="2636520" cy="304800"/>
        </a:xfrm>
        <a:prstGeom prst="rect">
          <a:avLst/>
        </a:prstGeom>
        <a:noFill/>
      </xdr:spPr>
    </xdr:pic>
    <xdr:clientData/>
  </xdr:twoCellAnchor>
  <xdr:twoCellAnchor>
    <xdr:from>
      <xdr:col>0</xdr:col>
      <xdr:colOff>175785</xdr:colOff>
      <xdr:row>832</xdr:row>
      <xdr:rowOff>22860</xdr:rowOff>
    </xdr:from>
    <xdr:to>
      <xdr:col>0</xdr:col>
      <xdr:colOff>616515</xdr:colOff>
      <xdr:row>832</xdr:row>
      <xdr:rowOff>147676</xdr:rowOff>
    </xdr:to>
    <xdr:pic>
      <xdr:nvPicPr>
        <xdr:cNvPr id="101" name="Picture 1">
          <a:extLst>
            <a:ext uri="{FF2B5EF4-FFF2-40B4-BE49-F238E27FC236}">
              <a16:creationId xmlns:a16="http://schemas.microsoft.com/office/drawing/2014/main" id="{00000000-0008-0000-0500-000065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l="9557" r="73727" b="59050"/>
        <a:stretch>
          <a:fillRect/>
        </a:stretch>
      </xdr:blipFill>
      <xdr:spPr bwMode="auto">
        <a:xfrm>
          <a:off x="175785" y="159235140"/>
          <a:ext cx="440730" cy="124816"/>
        </a:xfrm>
        <a:prstGeom prst="rect">
          <a:avLst/>
        </a:prstGeom>
        <a:noFill/>
      </xdr:spPr>
    </xdr:pic>
    <xdr:clientData/>
  </xdr:twoCellAnchor>
  <xdr:twoCellAnchor>
    <xdr:from>
      <xdr:col>0</xdr:col>
      <xdr:colOff>145296</xdr:colOff>
      <xdr:row>834</xdr:row>
      <xdr:rowOff>0</xdr:rowOff>
    </xdr:from>
    <xdr:to>
      <xdr:col>0</xdr:col>
      <xdr:colOff>729995</xdr:colOff>
      <xdr:row>835</xdr:row>
      <xdr:rowOff>129540</xdr:rowOff>
    </xdr:to>
    <xdr:pic>
      <xdr:nvPicPr>
        <xdr:cNvPr id="102" name="Picture 1">
          <a:extLst>
            <a:ext uri="{FF2B5EF4-FFF2-40B4-BE49-F238E27FC236}">
              <a16:creationId xmlns:a16="http://schemas.microsoft.com/office/drawing/2014/main" id="{00000000-0008-0000-0500-000066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l="9557" r="68266"/>
        <a:stretch>
          <a:fillRect/>
        </a:stretch>
      </xdr:blipFill>
      <xdr:spPr bwMode="auto">
        <a:xfrm>
          <a:off x="145296" y="159562800"/>
          <a:ext cx="584699" cy="304800"/>
        </a:xfrm>
        <a:prstGeom prst="rect">
          <a:avLst/>
        </a:prstGeom>
        <a:noFill/>
      </xdr:spPr>
    </xdr:pic>
    <xdr:clientData/>
  </xdr:twoCellAnchor>
  <xdr:twoCellAnchor>
    <xdr:from>
      <xdr:col>0</xdr:col>
      <xdr:colOff>0</xdr:colOff>
      <xdr:row>854</xdr:row>
      <xdr:rowOff>0</xdr:rowOff>
    </xdr:from>
    <xdr:to>
      <xdr:col>2</xdr:col>
      <xdr:colOff>822960</xdr:colOff>
      <xdr:row>855</xdr:row>
      <xdr:rowOff>106680</xdr:rowOff>
    </xdr:to>
    <xdr:pic>
      <xdr:nvPicPr>
        <xdr:cNvPr id="103" name="Picture 1">
          <a:extLst>
            <a:ext uri="{FF2B5EF4-FFF2-40B4-BE49-F238E27FC236}">
              <a16:creationId xmlns:a16="http://schemas.microsoft.com/office/drawing/2014/main" id="{00000000-0008-0000-0500-000067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0" y="158838900"/>
          <a:ext cx="2636520" cy="304800"/>
        </a:xfrm>
        <a:prstGeom prst="rect">
          <a:avLst/>
        </a:prstGeom>
        <a:noFill/>
      </xdr:spPr>
    </xdr:pic>
    <xdr:clientData/>
  </xdr:twoCellAnchor>
  <xdr:twoCellAnchor>
    <xdr:from>
      <xdr:col>0</xdr:col>
      <xdr:colOff>175785</xdr:colOff>
      <xdr:row>856</xdr:row>
      <xdr:rowOff>22860</xdr:rowOff>
    </xdr:from>
    <xdr:to>
      <xdr:col>0</xdr:col>
      <xdr:colOff>616515</xdr:colOff>
      <xdr:row>856</xdr:row>
      <xdr:rowOff>147676</xdr:rowOff>
    </xdr:to>
    <xdr:pic>
      <xdr:nvPicPr>
        <xdr:cNvPr id="109" name="Picture 1">
          <a:extLst>
            <a:ext uri="{FF2B5EF4-FFF2-40B4-BE49-F238E27FC236}">
              <a16:creationId xmlns:a16="http://schemas.microsoft.com/office/drawing/2014/main" id="{00000000-0008-0000-0500-00006D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l="9557" r="73727" b="59050"/>
        <a:stretch>
          <a:fillRect/>
        </a:stretch>
      </xdr:blipFill>
      <xdr:spPr bwMode="auto">
        <a:xfrm>
          <a:off x="175785" y="159235140"/>
          <a:ext cx="440730" cy="124816"/>
        </a:xfrm>
        <a:prstGeom prst="rect">
          <a:avLst/>
        </a:prstGeom>
        <a:noFill/>
      </xdr:spPr>
    </xdr:pic>
    <xdr:clientData/>
  </xdr:twoCellAnchor>
  <xdr:twoCellAnchor>
    <xdr:from>
      <xdr:col>0</xdr:col>
      <xdr:colOff>145296</xdr:colOff>
      <xdr:row>858</xdr:row>
      <xdr:rowOff>0</xdr:rowOff>
    </xdr:from>
    <xdr:to>
      <xdr:col>0</xdr:col>
      <xdr:colOff>729995</xdr:colOff>
      <xdr:row>859</xdr:row>
      <xdr:rowOff>129540</xdr:rowOff>
    </xdr:to>
    <xdr:pic>
      <xdr:nvPicPr>
        <xdr:cNvPr id="118" name="Picture 1">
          <a:extLst>
            <a:ext uri="{FF2B5EF4-FFF2-40B4-BE49-F238E27FC236}">
              <a16:creationId xmlns:a16="http://schemas.microsoft.com/office/drawing/2014/main" id="{00000000-0008-0000-0500-000076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l="9557" r="68266"/>
        <a:stretch>
          <a:fillRect/>
        </a:stretch>
      </xdr:blipFill>
      <xdr:spPr bwMode="auto">
        <a:xfrm>
          <a:off x="145296" y="159562800"/>
          <a:ext cx="584699" cy="304800"/>
        </a:xfrm>
        <a:prstGeom prst="rect">
          <a:avLst/>
        </a:prstGeom>
        <a:noFill/>
      </xdr:spPr>
    </xdr:pic>
    <xdr:clientData/>
  </xdr:twoCellAnchor>
  <xdr:twoCellAnchor>
    <xdr:from>
      <xdr:col>0</xdr:col>
      <xdr:colOff>175268</xdr:colOff>
      <xdr:row>879</xdr:row>
      <xdr:rowOff>152400</xdr:rowOff>
    </xdr:from>
    <xdr:to>
      <xdr:col>0</xdr:col>
      <xdr:colOff>740477</xdr:colOff>
      <xdr:row>883</xdr:row>
      <xdr:rowOff>45720</xdr:rowOff>
    </xdr:to>
    <xdr:pic>
      <xdr:nvPicPr>
        <xdr:cNvPr id="9" name="Picture 3">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r="89155"/>
        <a:stretch>
          <a:fillRect/>
        </a:stretch>
      </xdr:blipFill>
      <xdr:spPr bwMode="auto">
        <a:xfrm>
          <a:off x="175268" y="168760140"/>
          <a:ext cx="565209" cy="594360"/>
        </a:xfrm>
        <a:prstGeom prst="rect">
          <a:avLst/>
        </a:prstGeom>
        <a:noFill/>
      </xdr:spPr>
    </xdr:pic>
    <xdr:clientData/>
  </xdr:twoCellAnchor>
  <xdr:twoCellAnchor>
    <xdr:from>
      <xdr:col>0</xdr:col>
      <xdr:colOff>0</xdr:colOff>
      <xdr:row>876</xdr:row>
      <xdr:rowOff>274320</xdr:rowOff>
    </xdr:from>
    <xdr:to>
      <xdr:col>6</xdr:col>
      <xdr:colOff>335280</xdr:colOff>
      <xdr:row>880</xdr:row>
      <xdr:rowOff>53340</xdr:rowOff>
    </xdr:to>
    <xdr:pic>
      <xdr:nvPicPr>
        <xdr:cNvPr id="121" name="Picture 3">
          <a:extLst>
            <a:ext uri="{FF2B5EF4-FFF2-40B4-BE49-F238E27FC236}">
              <a16:creationId xmlns:a16="http://schemas.microsoft.com/office/drawing/2014/main" id="{00000000-0008-0000-0500-000079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0" y="168173400"/>
          <a:ext cx="5814060" cy="662940"/>
        </a:xfrm>
        <a:prstGeom prst="rect">
          <a:avLst/>
        </a:prstGeom>
        <a:noFill/>
      </xdr:spPr>
    </xdr:pic>
    <xdr:clientData/>
  </xdr:twoCellAnchor>
  <xdr:twoCellAnchor>
    <xdr:from>
      <xdr:col>0</xdr:col>
      <xdr:colOff>85418</xdr:colOff>
      <xdr:row>881</xdr:row>
      <xdr:rowOff>60960</xdr:rowOff>
    </xdr:from>
    <xdr:to>
      <xdr:col>0</xdr:col>
      <xdr:colOff>859854</xdr:colOff>
      <xdr:row>885</xdr:row>
      <xdr:rowOff>22860</xdr:rowOff>
    </xdr:to>
    <xdr:pic>
      <xdr:nvPicPr>
        <xdr:cNvPr id="122" name="Picture 3">
          <a:extLst>
            <a:ext uri="{FF2B5EF4-FFF2-40B4-BE49-F238E27FC236}">
              <a16:creationId xmlns:a16="http://schemas.microsoft.com/office/drawing/2014/main" id="{00000000-0008-0000-0500-00007A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l="13002" r="73677"/>
        <a:stretch>
          <a:fillRect/>
        </a:stretch>
      </xdr:blipFill>
      <xdr:spPr bwMode="auto">
        <a:xfrm>
          <a:off x="85418" y="169019220"/>
          <a:ext cx="774436" cy="662940"/>
        </a:xfrm>
        <a:prstGeom prst="rect">
          <a:avLst/>
        </a:prstGeom>
        <a:noFill/>
      </xdr:spPr>
    </xdr:pic>
    <xdr:clientData/>
  </xdr:twoCellAnchor>
  <xdr:twoCellAnchor>
    <xdr:from>
      <xdr:col>0</xdr:col>
      <xdr:colOff>86173</xdr:colOff>
      <xdr:row>886</xdr:row>
      <xdr:rowOff>30480</xdr:rowOff>
    </xdr:from>
    <xdr:to>
      <xdr:col>0</xdr:col>
      <xdr:colOff>723900</xdr:colOff>
      <xdr:row>889</xdr:row>
      <xdr:rowOff>30480</xdr:rowOff>
    </xdr:to>
    <xdr:pic>
      <xdr:nvPicPr>
        <xdr:cNvPr id="123" name="Picture 3">
          <a:extLst>
            <a:ext uri="{FF2B5EF4-FFF2-40B4-BE49-F238E27FC236}">
              <a16:creationId xmlns:a16="http://schemas.microsoft.com/office/drawing/2014/main" id="{00000000-0008-0000-0500-00007B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l="28480" r="58818"/>
        <a:stretch>
          <a:fillRect/>
        </a:stretch>
      </xdr:blipFill>
      <xdr:spPr bwMode="auto">
        <a:xfrm>
          <a:off x="86173" y="169872660"/>
          <a:ext cx="637727" cy="525780"/>
        </a:xfrm>
        <a:prstGeom prst="rect">
          <a:avLst/>
        </a:prstGeom>
        <a:noFill/>
      </xdr:spPr>
    </xdr:pic>
    <xdr:clientData/>
  </xdr:twoCellAnchor>
  <xdr:twoCellAnchor>
    <xdr:from>
      <xdr:col>4</xdr:col>
      <xdr:colOff>381000</xdr:colOff>
      <xdr:row>884</xdr:row>
      <xdr:rowOff>38100</xdr:rowOff>
    </xdr:from>
    <xdr:to>
      <xdr:col>6</xdr:col>
      <xdr:colOff>571500</xdr:colOff>
      <xdr:row>886</xdr:row>
      <xdr:rowOff>137160</xdr:rowOff>
    </xdr:to>
    <xdr:pic>
      <xdr:nvPicPr>
        <xdr:cNvPr id="2052" name="Picture 4">
          <a:extLst>
            <a:ext uri="{FF2B5EF4-FFF2-40B4-BE49-F238E27FC236}">
              <a16:creationId xmlns:a16="http://schemas.microsoft.com/office/drawing/2014/main" id="{00000000-0008-0000-0500-00000408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4076700" y="169522140"/>
          <a:ext cx="1973580" cy="457200"/>
        </a:xfrm>
        <a:prstGeom prst="rect">
          <a:avLst/>
        </a:prstGeom>
        <a:noFill/>
      </xdr:spPr>
    </xdr:pic>
    <xdr:clientData/>
  </xdr:twoCellAnchor>
  <xdr:twoCellAnchor>
    <xdr:from>
      <xdr:col>0</xdr:col>
      <xdr:colOff>175268</xdr:colOff>
      <xdr:row>907</xdr:row>
      <xdr:rowOff>152400</xdr:rowOff>
    </xdr:from>
    <xdr:to>
      <xdr:col>0</xdr:col>
      <xdr:colOff>740477</xdr:colOff>
      <xdr:row>911</xdr:row>
      <xdr:rowOff>45720</xdr:rowOff>
    </xdr:to>
    <xdr:pic>
      <xdr:nvPicPr>
        <xdr:cNvPr id="124" name="Picture 3">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r="89155"/>
        <a:stretch>
          <a:fillRect/>
        </a:stretch>
      </xdr:blipFill>
      <xdr:spPr bwMode="auto">
        <a:xfrm>
          <a:off x="175268" y="168760140"/>
          <a:ext cx="565209" cy="594360"/>
        </a:xfrm>
        <a:prstGeom prst="rect">
          <a:avLst/>
        </a:prstGeom>
        <a:noFill/>
      </xdr:spPr>
    </xdr:pic>
    <xdr:clientData/>
  </xdr:twoCellAnchor>
  <xdr:twoCellAnchor>
    <xdr:from>
      <xdr:col>0</xdr:col>
      <xdr:colOff>22860</xdr:colOff>
      <xdr:row>905</xdr:row>
      <xdr:rowOff>129540</xdr:rowOff>
    </xdr:from>
    <xdr:to>
      <xdr:col>6</xdr:col>
      <xdr:colOff>358140</xdr:colOff>
      <xdr:row>909</xdr:row>
      <xdr:rowOff>0</xdr:rowOff>
    </xdr:to>
    <xdr:pic>
      <xdr:nvPicPr>
        <xdr:cNvPr id="125" name="Picture 3">
          <a:extLst>
            <a:ext uri="{FF2B5EF4-FFF2-40B4-BE49-F238E27FC236}">
              <a16:creationId xmlns:a16="http://schemas.microsoft.com/office/drawing/2014/main" id="{00000000-0008-0000-0500-00007D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22860" y="174040800"/>
          <a:ext cx="5814060" cy="579120"/>
        </a:xfrm>
        <a:prstGeom prst="rect">
          <a:avLst/>
        </a:prstGeom>
        <a:noFill/>
      </xdr:spPr>
    </xdr:pic>
    <xdr:clientData/>
  </xdr:twoCellAnchor>
  <xdr:twoCellAnchor>
    <xdr:from>
      <xdr:col>0</xdr:col>
      <xdr:colOff>85418</xdr:colOff>
      <xdr:row>909</xdr:row>
      <xdr:rowOff>60960</xdr:rowOff>
    </xdr:from>
    <xdr:to>
      <xdr:col>0</xdr:col>
      <xdr:colOff>859854</xdr:colOff>
      <xdr:row>913</xdr:row>
      <xdr:rowOff>22860</xdr:rowOff>
    </xdr:to>
    <xdr:pic>
      <xdr:nvPicPr>
        <xdr:cNvPr id="126" name="Picture 3">
          <a:extLst>
            <a:ext uri="{FF2B5EF4-FFF2-40B4-BE49-F238E27FC236}">
              <a16:creationId xmlns:a16="http://schemas.microsoft.com/office/drawing/2014/main" id="{00000000-0008-0000-0500-00007E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l="13002" r="73677"/>
        <a:stretch>
          <a:fillRect/>
        </a:stretch>
      </xdr:blipFill>
      <xdr:spPr bwMode="auto">
        <a:xfrm>
          <a:off x="85418" y="169019220"/>
          <a:ext cx="774436" cy="662940"/>
        </a:xfrm>
        <a:prstGeom prst="rect">
          <a:avLst/>
        </a:prstGeom>
        <a:noFill/>
      </xdr:spPr>
    </xdr:pic>
    <xdr:clientData/>
  </xdr:twoCellAnchor>
  <xdr:twoCellAnchor>
    <xdr:from>
      <xdr:col>0</xdr:col>
      <xdr:colOff>86173</xdr:colOff>
      <xdr:row>914</xdr:row>
      <xdr:rowOff>30480</xdr:rowOff>
    </xdr:from>
    <xdr:to>
      <xdr:col>0</xdr:col>
      <xdr:colOff>723900</xdr:colOff>
      <xdr:row>917</xdr:row>
      <xdr:rowOff>30480</xdr:rowOff>
    </xdr:to>
    <xdr:pic>
      <xdr:nvPicPr>
        <xdr:cNvPr id="127" name="Picture 3">
          <a:extLst>
            <a:ext uri="{FF2B5EF4-FFF2-40B4-BE49-F238E27FC236}">
              <a16:creationId xmlns:a16="http://schemas.microsoft.com/office/drawing/2014/main" id="{00000000-0008-0000-0500-00007F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l="28480" r="58818"/>
        <a:stretch>
          <a:fillRect/>
        </a:stretch>
      </xdr:blipFill>
      <xdr:spPr bwMode="auto">
        <a:xfrm>
          <a:off x="86173" y="169872660"/>
          <a:ext cx="637727" cy="525780"/>
        </a:xfrm>
        <a:prstGeom prst="rect">
          <a:avLst/>
        </a:prstGeom>
        <a:noFill/>
      </xdr:spPr>
    </xdr:pic>
    <xdr:clientData/>
  </xdr:twoCellAnchor>
  <xdr:twoCellAnchor>
    <xdr:from>
      <xdr:col>4</xdr:col>
      <xdr:colOff>381000</xdr:colOff>
      <xdr:row>912</xdr:row>
      <xdr:rowOff>38100</xdr:rowOff>
    </xdr:from>
    <xdr:to>
      <xdr:col>6</xdr:col>
      <xdr:colOff>571500</xdr:colOff>
      <xdr:row>914</xdr:row>
      <xdr:rowOff>137160</xdr:rowOff>
    </xdr:to>
    <xdr:pic>
      <xdr:nvPicPr>
        <xdr:cNvPr id="128" name="Picture 4">
          <a:extLst>
            <a:ext uri="{FF2B5EF4-FFF2-40B4-BE49-F238E27FC236}">
              <a16:creationId xmlns:a16="http://schemas.microsoft.com/office/drawing/2014/main" id="{00000000-0008-0000-0500-00008000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4076700" y="169522140"/>
          <a:ext cx="1973580" cy="457200"/>
        </a:xfrm>
        <a:prstGeom prst="rect">
          <a:avLst/>
        </a:prstGeom>
        <a:noFill/>
      </xdr:spPr>
    </xdr:pic>
    <xdr:clientData/>
  </xdr:twoCellAnchor>
  <xdr:twoCellAnchor>
    <xdr:from>
      <xdr:col>0</xdr:col>
      <xdr:colOff>22860</xdr:colOff>
      <xdr:row>927</xdr:row>
      <xdr:rowOff>7620</xdr:rowOff>
    </xdr:from>
    <xdr:to>
      <xdr:col>4</xdr:col>
      <xdr:colOff>411480</xdr:colOff>
      <xdr:row>929</xdr:row>
      <xdr:rowOff>175260</xdr:rowOff>
    </xdr:to>
    <xdr:pic>
      <xdr:nvPicPr>
        <xdr:cNvPr id="2054" name="Picture 6">
          <a:extLst>
            <a:ext uri="{FF2B5EF4-FFF2-40B4-BE49-F238E27FC236}">
              <a16:creationId xmlns:a16="http://schemas.microsoft.com/office/drawing/2014/main" id="{00000000-0008-0000-0500-000006080000}"/>
            </a:ext>
          </a:extLst>
        </xdr:cNvPr>
        <xdr:cNvPicPr>
          <a:picLocks noChangeAspect="1" noChangeArrowheads="1"/>
        </xdr:cNvPicPr>
      </xdr:nvPicPr>
      <xdr:blipFill>
        <a:blip xmlns:r="http://schemas.openxmlformats.org/officeDocument/2006/relationships" r:embed="rId24">
          <a:clrChange>
            <a:clrFrom>
              <a:srgbClr val="FFFFFF"/>
            </a:clrFrom>
            <a:clrTo>
              <a:srgbClr val="FFFFFF">
                <a:alpha val="0"/>
              </a:srgbClr>
            </a:clrTo>
          </a:clrChange>
        </a:blip>
        <a:srcRect/>
        <a:stretch>
          <a:fillRect/>
        </a:stretch>
      </xdr:blipFill>
      <xdr:spPr bwMode="auto">
        <a:xfrm>
          <a:off x="22860" y="178178460"/>
          <a:ext cx="4084320" cy="525780"/>
        </a:xfrm>
        <a:prstGeom prst="rect">
          <a:avLst/>
        </a:prstGeom>
        <a:noFill/>
      </xdr:spPr>
    </xdr:pic>
    <xdr:clientData/>
  </xdr:twoCellAnchor>
  <xdr:twoCellAnchor>
    <xdr:from>
      <xdr:col>0</xdr:col>
      <xdr:colOff>15240</xdr:colOff>
      <xdr:row>939</xdr:row>
      <xdr:rowOff>60960</xdr:rowOff>
    </xdr:from>
    <xdr:to>
      <xdr:col>6</xdr:col>
      <xdr:colOff>510540</xdr:colOff>
      <xdr:row>945</xdr:row>
      <xdr:rowOff>91440</xdr:rowOff>
    </xdr:to>
    <xdr:pic>
      <xdr:nvPicPr>
        <xdr:cNvPr id="2057" name="Picture 9">
          <a:extLst>
            <a:ext uri="{FF2B5EF4-FFF2-40B4-BE49-F238E27FC236}">
              <a16:creationId xmlns:a16="http://schemas.microsoft.com/office/drawing/2014/main" id="{00000000-0008-0000-0500-00000908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15240" y="181356000"/>
          <a:ext cx="5974080" cy="1089660"/>
        </a:xfrm>
        <a:prstGeom prst="rect">
          <a:avLst/>
        </a:prstGeom>
        <a:noFill/>
      </xdr:spPr>
    </xdr:pic>
    <xdr:clientData/>
  </xdr:twoCellAnchor>
  <xdr:twoCellAnchor>
    <xdr:from>
      <xdr:col>0</xdr:col>
      <xdr:colOff>167640</xdr:colOff>
      <xdr:row>945</xdr:row>
      <xdr:rowOff>172361</xdr:rowOff>
    </xdr:from>
    <xdr:to>
      <xdr:col>0</xdr:col>
      <xdr:colOff>778148</xdr:colOff>
      <xdr:row>947</xdr:row>
      <xdr:rowOff>47560</xdr:rowOff>
    </xdr:to>
    <xdr:pic>
      <xdr:nvPicPr>
        <xdr:cNvPr id="135" name="Picture 9">
          <a:extLst>
            <a:ext uri="{FF2B5EF4-FFF2-40B4-BE49-F238E27FC236}">
              <a16:creationId xmlns:a16="http://schemas.microsoft.com/office/drawing/2014/main" id="{00000000-0008-0000-0500-000087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t="16517" r="89780" b="62766"/>
        <a:stretch>
          <a:fillRect/>
        </a:stretch>
      </xdr:blipFill>
      <xdr:spPr bwMode="auto">
        <a:xfrm>
          <a:off x="167640" y="182526581"/>
          <a:ext cx="610508" cy="225719"/>
        </a:xfrm>
        <a:prstGeom prst="rect">
          <a:avLst/>
        </a:prstGeom>
        <a:noFill/>
      </xdr:spPr>
    </xdr:pic>
    <xdr:clientData/>
  </xdr:twoCellAnchor>
  <xdr:twoCellAnchor>
    <xdr:from>
      <xdr:col>0</xdr:col>
      <xdr:colOff>0</xdr:colOff>
      <xdr:row>949</xdr:row>
      <xdr:rowOff>121920</xdr:rowOff>
    </xdr:from>
    <xdr:to>
      <xdr:col>1</xdr:col>
      <xdr:colOff>294094</xdr:colOff>
      <xdr:row>952</xdr:row>
      <xdr:rowOff>38100</xdr:rowOff>
    </xdr:to>
    <xdr:pic>
      <xdr:nvPicPr>
        <xdr:cNvPr id="136" name="Picture 9">
          <a:extLst>
            <a:ext uri="{FF2B5EF4-FFF2-40B4-BE49-F238E27FC236}">
              <a16:creationId xmlns:a16="http://schemas.microsoft.com/office/drawing/2014/main" id="{00000000-0008-0000-0500-000088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l="12051" r="54832" b="52856"/>
        <a:stretch>
          <a:fillRect/>
        </a:stretch>
      </xdr:blipFill>
      <xdr:spPr bwMode="auto">
        <a:xfrm>
          <a:off x="0" y="183238140"/>
          <a:ext cx="1223734" cy="441960"/>
        </a:xfrm>
        <a:prstGeom prst="rect">
          <a:avLst/>
        </a:prstGeom>
        <a:noFill/>
      </xdr:spPr>
    </xdr:pic>
    <xdr:clientData/>
  </xdr:twoCellAnchor>
  <xdr:twoCellAnchor>
    <xdr:from>
      <xdr:col>0</xdr:col>
      <xdr:colOff>15240</xdr:colOff>
      <xdr:row>960</xdr:row>
      <xdr:rowOff>60960</xdr:rowOff>
    </xdr:from>
    <xdr:to>
      <xdr:col>6</xdr:col>
      <xdr:colOff>510540</xdr:colOff>
      <xdr:row>966</xdr:row>
      <xdr:rowOff>91440</xdr:rowOff>
    </xdr:to>
    <xdr:pic>
      <xdr:nvPicPr>
        <xdr:cNvPr id="137" name="Picture 9">
          <a:extLst>
            <a:ext uri="{FF2B5EF4-FFF2-40B4-BE49-F238E27FC236}">
              <a16:creationId xmlns:a16="http://schemas.microsoft.com/office/drawing/2014/main" id="{00000000-0008-0000-0500-000089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15240" y="181356000"/>
          <a:ext cx="5974080" cy="1089660"/>
        </a:xfrm>
        <a:prstGeom prst="rect">
          <a:avLst/>
        </a:prstGeom>
        <a:noFill/>
      </xdr:spPr>
    </xdr:pic>
    <xdr:clientData/>
  </xdr:twoCellAnchor>
  <xdr:twoCellAnchor>
    <xdr:from>
      <xdr:col>0</xdr:col>
      <xdr:colOff>167640</xdr:colOff>
      <xdr:row>966</xdr:row>
      <xdr:rowOff>172361</xdr:rowOff>
    </xdr:from>
    <xdr:to>
      <xdr:col>0</xdr:col>
      <xdr:colOff>778148</xdr:colOff>
      <xdr:row>967</xdr:row>
      <xdr:rowOff>0</xdr:rowOff>
    </xdr:to>
    <xdr:pic>
      <xdr:nvPicPr>
        <xdr:cNvPr id="138" name="Picture 9">
          <a:extLst>
            <a:ext uri="{FF2B5EF4-FFF2-40B4-BE49-F238E27FC236}">
              <a16:creationId xmlns:a16="http://schemas.microsoft.com/office/drawing/2014/main" id="{00000000-0008-0000-0500-00008A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t="16517" r="89780" b="62766"/>
        <a:stretch>
          <a:fillRect/>
        </a:stretch>
      </xdr:blipFill>
      <xdr:spPr bwMode="auto">
        <a:xfrm>
          <a:off x="167640" y="182526581"/>
          <a:ext cx="610508" cy="225719"/>
        </a:xfrm>
        <a:prstGeom prst="rect">
          <a:avLst/>
        </a:prstGeom>
        <a:noFill/>
      </xdr:spPr>
    </xdr:pic>
    <xdr:clientData/>
  </xdr:twoCellAnchor>
  <xdr:twoCellAnchor>
    <xdr:from>
      <xdr:col>0</xdr:col>
      <xdr:colOff>15240</xdr:colOff>
      <xdr:row>976</xdr:row>
      <xdr:rowOff>60960</xdr:rowOff>
    </xdr:from>
    <xdr:to>
      <xdr:col>6</xdr:col>
      <xdr:colOff>510540</xdr:colOff>
      <xdr:row>982</xdr:row>
      <xdr:rowOff>91440</xdr:rowOff>
    </xdr:to>
    <xdr:pic>
      <xdr:nvPicPr>
        <xdr:cNvPr id="140" name="Picture 9">
          <a:extLst>
            <a:ext uri="{FF2B5EF4-FFF2-40B4-BE49-F238E27FC236}">
              <a16:creationId xmlns:a16="http://schemas.microsoft.com/office/drawing/2014/main" id="{00000000-0008-0000-0500-00008C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15240" y="184617360"/>
          <a:ext cx="5974080" cy="1089660"/>
        </a:xfrm>
        <a:prstGeom prst="rect">
          <a:avLst/>
        </a:prstGeom>
        <a:noFill/>
      </xdr:spPr>
    </xdr:pic>
    <xdr:clientData/>
  </xdr:twoCellAnchor>
  <xdr:twoCellAnchor>
    <xdr:from>
      <xdr:col>0</xdr:col>
      <xdr:colOff>167640</xdr:colOff>
      <xdr:row>982</xdr:row>
      <xdr:rowOff>172361</xdr:rowOff>
    </xdr:from>
    <xdr:to>
      <xdr:col>0</xdr:col>
      <xdr:colOff>778148</xdr:colOff>
      <xdr:row>983</xdr:row>
      <xdr:rowOff>0</xdr:rowOff>
    </xdr:to>
    <xdr:pic>
      <xdr:nvPicPr>
        <xdr:cNvPr id="141" name="Picture 9">
          <a:extLst>
            <a:ext uri="{FF2B5EF4-FFF2-40B4-BE49-F238E27FC236}">
              <a16:creationId xmlns:a16="http://schemas.microsoft.com/office/drawing/2014/main" id="{00000000-0008-0000-0500-00008D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t="16517" r="89780" b="62766"/>
        <a:stretch>
          <a:fillRect/>
        </a:stretch>
      </xdr:blipFill>
      <xdr:spPr bwMode="auto">
        <a:xfrm>
          <a:off x="167640" y="185787941"/>
          <a:ext cx="610508" cy="2899"/>
        </a:xfrm>
        <a:prstGeom prst="rect">
          <a:avLst/>
        </a:prstGeom>
        <a:noFill/>
      </xdr:spPr>
    </xdr:pic>
    <xdr:clientData/>
  </xdr:twoCellAnchor>
  <xdr:twoCellAnchor>
    <xdr:from>
      <xdr:col>4</xdr:col>
      <xdr:colOff>0</xdr:colOff>
      <xdr:row>989</xdr:row>
      <xdr:rowOff>0</xdr:rowOff>
    </xdr:from>
    <xdr:to>
      <xdr:col>5</xdr:col>
      <xdr:colOff>236220</xdr:colOff>
      <xdr:row>990</xdr:row>
      <xdr:rowOff>129540</xdr:rowOff>
    </xdr:to>
    <xdr:pic>
      <xdr:nvPicPr>
        <xdr:cNvPr id="13" name="Picture 11">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26">
          <a:clrChange>
            <a:clrFrom>
              <a:srgbClr val="FFFFFF"/>
            </a:clrFrom>
            <a:clrTo>
              <a:srgbClr val="FFFFFF">
                <a:alpha val="0"/>
              </a:srgbClr>
            </a:clrTo>
          </a:clrChange>
        </a:blip>
        <a:srcRect/>
        <a:stretch>
          <a:fillRect/>
        </a:stretch>
      </xdr:blipFill>
      <xdr:spPr bwMode="auto">
        <a:xfrm>
          <a:off x="3695700" y="190202820"/>
          <a:ext cx="1135380" cy="48006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324678</xdr:colOff>
      <xdr:row>2</xdr:row>
      <xdr:rowOff>112643</xdr:rowOff>
    </xdr:from>
    <xdr:to>
      <xdr:col>7</xdr:col>
      <xdr:colOff>233238</xdr:colOff>
      <xdr:row>5</xdr:row>
      <xdr:rowOff>54665</xdr:rowOff>
    </xdr:to>
    <xdr:pic>
      <xdr:nvPicPr>
        <xdr:cNvPr id="3074" name="Picture 2">
          <a:extLst>
            <a:ext uri="{FF2B5EF4-FFF2-40B4-BE49-F238E27FC236}">
              <a16:creationId xmlns:a16="http://schemas.microsoft.com/office/drawing/2014/main" id="{00000000-0008-0000-0600-0000020C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95669" y="483704"/>
          <a:ext cx="3672178" cy="472109"/>
        </a:xfrm>
        <a:prstGeom prst="rect">
          <a:avLst/>
        </a:prstGeom>
        <a:noFill/>
      </xdr:spPr>
    </xdr:pic>
    <xdr:clientData/>
  </xdr:twoCellAnchor>
  <xdr:twoCellAnchor>
    <xdr:from>
      <xdr:col>2</xdr:col>
      <xdr:colOff>271670</xdr:colOff>
      <xdr:row>5</xdr:row>
      <xdr:rowOff>119269</xdr:rowOff>
    </xdr:from>
    <xdr:to>
      <xdr:col>2</xdr:col>
      <xdr:colOff>704651</xdr:colOff>
      <xdr:row>8</xdr:row>
      <xdr:rowOff>74543</xdr:rowOff>
    </xdr:to>
    <xdr:pic>
      <xdr:nvPicPr>
        <xdr:cNvPr id="4" name="Picture 2">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r="88207"/>
        <a:stretch>
          <a:fillRect/>
        </a:stretch>
      </xdr:blipFill>
      <xdr:spPr bwMode="auto">
        <a:xfrm>
          <a:off x="1742661" y="1020417"/>
          <a:ext cx="432981" cy="472109"/>
        </a:xfrm>
        <a:prstGeom prst="rect">
          <a:avLst/>
        </a:prstGeom>
        <a:noFill/>
      </xdr:spPr>
    </xdr:pic>
    <xdr:clientData/>
  </xdr:twoCellAnchor>
  <xdr:twoCellAnchor>
    <xdr:from>
      <xdr:col>2</xdr:col>
      <xdr:colOff>215181</xdr:colOff>
      <xdr:row>8</xdr:row>
      <xdr:rowOff>154297</xdr:rowOff>
    </xdr:from>
    <xdr:to>
      <xdr:col>2</xdr:col>
      <xdr:colOff>720164</xdr:colOff>
      <xdr:row>9</xdr:row>
      <xdr:rowOff>166354</xdr:rowOff>
    </xdr:to>
    <xdr:pic>
      <xdr:nvPicPr>
        <xdr:cNvPr id="5" name="Picture 2">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l="14701" t="22858" r="71546" b="38097"/>
        <a:stretch>
          <a:fillRect/>
        </a:stretch>
      </xdr:blipFill>
      <xdr:spPr bwMode="auto">
        <a:xfrm>
          <a:off x="1686172" y="1572280"/>
          <a:ext cx="504983" cy="184335"/>
        </a:xfrm>
        <a:prstGeom prst="rect">
          <a:avLst/>
        </a:prstGeom>
        <a:noFill/>
      </xdr:spPr>
    </xdr:pic>
    <xdr:clientData/>
  </xdr:twoCellAnchor>
  <xdr:twoCellAnchor>
    <xdr:from>
      <xdr:col>2</xdr:col>
      <xdr:colOff>324678</xdr:colOff>
      <xdr:row>15</xdr:row>
      <xdr:rowOff>112643</xdr:rowOff>
    </xdr:from>
    <xdr:to>
      <xdr:col>7</xdr:col>
      <xdr:colOff>233238</xdr:colOff>
      <xdr:row>18</xdr:row>
      <xdr:rowOff>54665</xdr:rowOff>
    </xdr:to>
    <xdr:pic>
      <xdr:nvPicPr>
        <xdr:cNvPr id="6" name="Picture 2">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95669" y="483704"/>
          <a:ext cx="3672178" cy="472109"/>
        </a:xfrm>
        <a:prstGeom prst="rect">
          <a:avLst/>
        </a:prstGeom>
        <a:noFill/>
      </xdr:spPr>
    </xdr:pic>
    <xdr:clientData/>
  </xdr:twoCellAnchor>
  <xdr:twoCellAnchor>
    <xdr:from>
      <xdr:col>2</xdr:col>
      <xdr:colOff>271670</xdr:colOff>
      <xdr:row>18</xdr:row>
      <xdr:rowOff>119269</xdr:rowOff>
    </xdr:from>
    <xdr:to>
      <xdr:col>2</xdr:col>
      <xdr:colOff>704651</xdr:colOff>
      <xdr:row>21</xdr:row>
      <xdr:rowOff>74543</xdr:rowOff>
    </xdr:to>
    <xdr:pic>
      <xdr:nvPicPr>
        <xdr:cNvPr id="7" name="Picture 2">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r="88207"/>
        <a:stretch>
          <a:fillRect/>
        </a:stretch>
      </xdr:blipFill>
      <xdr:spPr bwMode="auto">
        <a:xfrm>
          <a:off x="1742661" y="1020417"/>
          <a:ext cx="432981" cy="472109"/>
        </a:xfrm>
        <a:prstGeom prst="rect">
          <a:avLst/>
        </a:prstGeom>
        <a:noFill/>
      </xdr:spPr>
    </xdr:pic>
    <xdr:clientData/>
  </xdr:twoCellAnchor>
  <xdr:twoCellAnchor>
    <xdr:from>
      <xdr:col>2</xdr:col>
      <xdr:colOff>215181</xdr:colOff>
      <xdr:row>21</xdr:row>
      <xdr:rowOff>154297</xdr:rowOff>
    </xdr:from>
    <xdr:to>
      <xdr:col>2</xdr:col>
      <xdr:colOff>720164</xdr:colOff>
      <xdr:row>22</xdr:row>
      <xdr:rowOff>166354</xdr:rowOff>
    </xdr:to>
    <xdr:pic>
      <xdr:nvPicPr>
        <xdr:cNvPr id="8" name="Picture 2">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l="14701" t="22858" r="71546" b="38097"/>
        <a:stretch>
          <a:fillRect/>
        </a:stretch>
      </xdr:blipFill>
      <xdr:spPr bwMode="auto">
        <a:xfrm>
          <a:off x="1686172" y="1572280"/>
          <a:ext cx="504983" cy="184335"/>
        </a:xfrm>
        <a:prstGeom prst="rect">
          <a:avLst/>
        </a:prstGeom>
        <a:noFill/>
      </xdr:spPr>
    </xdr:pic>
    <xdr:clientData/>
  </xdr:twoCellAnchor>
  <xdr:twoCellAnchor>
    <xdr:from>
      <xdr:col>2</xdr:col>
      <xdr:colOff>389283</xdr:colOff>
      <xdr:row>27</xdr:row>
      <xdr:rowOff>124240</xdr:rowOff>
    </xdr:from>
    <xdr:to>
      <xdr:col>7</xdr:col>
      <xdr:colOff>402535</xdr:colOff>
      <xdr:row>30</xdr:row>
      <xdr:rowOff>38515</xdr:rowOff>
    </xdr:to>
    <xdr:pic>
      <xdr:nvPicPr>
        <xdr:cNvPr id="2049" name="Picture 1">
          <a:extLst>
            <a:ext uri="{FF2B5EF4-FFF2-40B4-BE49-F238E27FC236}">
              <a16:creationId xmlns:a16="http://schemas.microsoft.com/office/drawing/2014/main" id="{00000000-0008-0000-0600-000001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1813892" y="5292588"/>
          <a:ext cx="3665882" cy="485775"/>
        </a:xfrm>
        <a:prstGeom prst="rect">
          <a:avLst/>
        </a:prstGeom>
        <a:noFill/>
      </xdr:spPr>
    </xdr:pic>
    <xdr:clientData/>
  </xdr:twoCellAnchor>
  <xdr:twoCellAnchor>
    <xdr:from>
      <xdr:col>2</xdr:col>
      <xdr:colOff>291547</xdr:colOff>
      <xdr:row>32</xdr:row>
      <xdr:rowOff>134179</xdr:rowOff>
    </xdr:from>
    <xdr:to>
      <xdr:col>2</xdr:col>
      <xdr:colOff>770308</xdr:colOff>
      <xdr:row>35</xdr:row>
      <xdr:rowOff>66675</xdr:rowOff>
    </xdr:to>
    <xdr:pic>
      <xdr:nvPicPr>
        <xdr:cNvPr id="12" name="Picture 1">
          <a:extLst>
            <a:ext uri="{FF2B5EF4-FFF2-40B4-BE49-F238E27FC236}">
              <a16:creationId xmlns:a16="http://schemas.microsoft.com/office/drawing/2014/main" id="{00000000-0008-0000-0600-00000C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r="88135"/>
        <a:stretch>
          <a:fillRect/>
        </a:stretch>
      </xdr:blipFill>
      <xdr:spPr bwMode="auto">
        <a:xfrm>
          <a:off x="1762538" y="5872370"/>
          <a:ext cx="478761" cy="449331"/>
        </a:xfrm>
        <a:prstGeom prst="rect">
          <a:avLst/>
        </a:prstGeom>
        <a:noFill/>
      </xdr:spPr>
    </xdr:pic>
    <xdr:clientData/>
  </xdr:twoCellAnchor>
  <xdr:twoCellAnchor>
    <xdr:from>
      <xdr:col>3</xdr:col>
      <xdr:colOff>0</xdr:colOff>
      <xdr:row>42</xdr:row>
      <xdr:rowOff>0</xdr:rowOff>
    </xdr:from>
    <xdr:to>
      <xdr:col>7</xdr:col>
      <xdr:colOff>472440</xdr:colOff>
      <xdr:row>44</xdr:row>
      <xdr:rowOff>121920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293620" y="7612380"/>
          <a:ext cx="3672840" cy="480060"/>
        </a:xfrm>
        <a:prstGeom prst="rect">
          <a:avLst/>
        </a:prstGeom>
        <a:noFill/>
      </xdr:spPr>
    </xdr:pic>
    <xdr:clientData/>
  </xdr:twoCellAnchor>
  <xdr:twoCellAnchor>
    <xdr:from>
      <xdr:col>3</xdr:col>
      <xdr:colOff>205409</xdr:colOff>
      <xdr:row>47</xdr:row>
      <xdr:rowOff>112644</xdr:rowOff>
    </xdr:from>
    <xdr:to>
      <xdr:col>3</xdr:col>
      <xdr:colOff>674494</xdr:colOff>
      <xdr:row>50</xdr:row>
      <xdr:rowOff>75537</xdr:rowOff>
    </xdr:to>
    <xdr:pic>
      <xdr:nvPicPr>
        <xdr:cNvPr id="11" name="Picture 1">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r="87227"/>
        <a:stretch>
          <a:fillRect/>
        </a:stretch>
      </xdr:blipFill>
      <xdr:spPr bwMode="auto">
        <a:xfrm>
          <a:off x="2498035" y="8600661"/>
          <a:ext cx="469085" cy="479728"/>
        </a:xfrm>
        <a:prstGeom prst="rect">
          <a:avLst/>
        </a:prstGeom>
        <a:noFill/>
      </xdr:spPr>
    </xdr:pic>
    <xdr:clientData/>
  </xdr:twoCellAnchor>
  <xdr:twoCellAnchor>
    <xdr:from>
      <xdr:col>3</xdr:col>
      <xdr:colOff>0</xdr:colOff>
      <xdr:row>55</xdr:row>
      <xdr:rowOff>0</xdr:rowOff>
    </xdr:from>
    <xdr:to>
      <xdr:col>7</xdr:col>
      <xdr:colOff>472440</xdr:colOff>
      <xdr:row>57</xdr:row>
      <xdr:rowOff>121920</xdr:rowOff>
    </xdr:to>
    <xdr:pic>
      <xdr:nvPicPr>
        <xdr:cNvPr id="13" name="Picture 1">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292626" y="7547113"/>
          <a:ext cx="3679466" cy="479729"/>
        </a:xfrm>
        <a:prstGeom prst="rect">
          <a:avLst/>
        </a:prstGeom>
        <a:noFill/>
      </xdr:spPr>
    </xdr:pic>
    <xdr:clientData/>
  </xdr:twoCellAnchor>
  <xdr:twoCellAnchor>
    <xdr:from>
      <xdr:col>3</xdr:col>
      <xdr:colOff>205409</xdr:colOff>
      <xdr:row>60</xdr:row>
      <xdr:rowOff>112644</xdr:rowOff>
    </xdr:from>
    <xdr:to>
      <xdr:col>3</xdr:col>
      <xdr:colOff>674494</xdr:colOff>
      <xdr:row>63</xdr:row>
      <xdr:rowOff>75537</xdr:rowOff>
    </xdr:to>
    <xdr:pic>
      <xdr:nvPicPr>
        <xdr:cNvPr id="14" name="Picture 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r="87227"/>
        <a:stretch>
          <a:fillRect/>
        </a:stretch>
      </xdr:blipFill>
      <xdr:spPr bwMode="auto">
        <a:xfrm>
          <a:off x="2498035" y="8600661"/>
          <a:ext cx="469085" cy="545989"/>
        </a:xfrm>
        <a:prstGeom prst="rect">
          <a:avLst/>
        </a:prstGeom>
        <a:noFill/>
      </xdr:spPr>
    </xdr:pic>
    <xdr:clientData/>
  </xdr:twoCellAnchor>
  <xdr:twoCellAnchor>
    <xdr:from>
      <xdr:col>3</xdr:col>
      <xdr:colOff>0</xdr:colOff>
      <xdr:row>68</xdr:row>
      <xdr:rowOff>0</xdr:rowOff>
    </xdr:from>
    <xdr:to>
      <xdr:col>7</xdr:col>
      <xdr:colOff>472440</xdr:colOff>
      <xdr:row>70</xdr:row>
      <xdr:rowOff>121920</xdr:rowOff>
    </xdr:to>
    <xdr:pic>
      <xdr:nvPicPr>
        <xdr:cNvPr id="15" name="Picture 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2292626" y="9978887"/>
          <a:ext cx="3679466" cy="479729"/>
        </a:xfrm>
        <a:prstGeom prst="rect">
          <a:avLst/>
        </a:prstGeom>
        <a:noFill/>
      </xdr:spPr>
    </xdr:pic>
    <xdr:clientData/>
  </xdr:twoCellAnchor>
  <xdr:twoCellAnchor>
    <xdr:from>
      <xdr:col>3</xdr:col>
      <xdr:colOff>205409</xdr:colOff>
      <xdr:row>73</xdr:row>
      <xdr:rowOff>112644</xdr:rowOff>
    </xdr:from>
    <xdr:to>
      <xdr:col>3</xdr:col>
      <xdr:colOff>674494</xdr:colOff>
      <xdr:row>76</xdr:row>
      <xdr:rowOff>75537</xdr:rowOff>
    </xdr:to>
    <xdr:pic>
      <xdr:nvPicPr>
        <xdr:cNvPr id="16" name="Picture 1">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r="87227"/>
        <a:stretch>
          <a:fillRect/>
        </a:stretch>
      </xdr:blipFill>
      <xdr:spPr bwMode="auto">
        <a:xfrm>
          <a:off x="2498035" y="11032435"/>
          <a:ext cx="469085" cy="545989"/>
        </a:xfrm>
        <a:prstGeom prst="rect">
          <a:avLst/>
        </a:prstGeom>
        <a:noFill/>
      </xdr:spPr>
    </xdr:pic>
    <xdr:clientData/>
  </xdr:twoCellAnchor>
  <xdr:twoCellAnchor>
    <xdr:from>
      <xdr:col>0</xdr:col>
      <xdr:colOff>265043</xdr:colOff>
      <xdr:row>551</xdr:row>
      <xdr:rowOff>145774</xdr:rowOff>
    </xdr:from>
    <xdr:to>
      <xdr:col>4</xdr:col>
      <xdr:colOff>482047</xdr:colOff>
      <xdr:row>554</xdr:row>
      <xdr:rowOff>49696</xdr:rowOff>
    </xdr:to>
    <xdr:pic>
      <xdr:nvPicPr>
        <xdr:cNvPr id="3" name="Picture 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65043" y="96250539"/>
          <a:ext cx="3371021" cy="434009"/>
        </a:xfrm>
        <a:prstGeom prst="rect">
          <a:avLst/>
        </a:prstGeom>
        <a:noFill/>
      </xdr:spPr>
    </xdr:pic>
    <xdr:clientData/>
  </xdr:twoCellAnchor>
  <xdr:twoCellAnchor>
    <xdr:from>
      <xdr:col>0</xdr:col>
      <xdr:colOff>19879</xdr:colOff>
      <xdr:row>556</xdr:row>
      <xdr:rowOff>79513</xdr:rowOff>
    </xdr:from>
    <xdr:to>
      <xdr:col>1</xdr:col>
      <xdr:colOff>39757</xdr:colOff>
      <xdr:row>558</xdr:row>
      <xdr:rowOff>168966</xdr:rowOff>
    </xdr:to>
    <xdr:pic>
      <xdr:nvPicPr>
        <xdr:cNvPr id="17" name="Picture 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r="79630"/>
        <a:stretch>
          <a:fillRect/>
        </a:stretch>
      </xdr:blipFill>
      <xdr:spPr bwMode="auto">
        <a:xfrm>
          <a:off x="19879" y="97058922"/>
          <a:ext cx="629478" cy="434009"/>
        </a:xfrm>
        <a:prstGeom prst="rect">
          <a:avLst/>
        </a:prstGeom>
        <a:noFill/>
      </xdr:spPr>
    </xdr:pic>
    <xdr:clientData/>
  </xdr:twoCellAnchor>
  <xdr:twoCellAnchor>
    <xdr:from>
      <xdr:col>0</xdr:col>
      <xdr:colOff>36397</xdr:colOff>
      <xdr:row>554</xdr:row>
      <xdr:rowOff>33131</xdr:rowOff>
    </xdr:from>
    <xdr:to>
      <xdr:col>1</xdr:col>
      <xdr:colOff>105</xdr:colOff>
      <xdr:row>556</xdr:row>
      <xdr:rowOff>122583</xdr:rowOff>
    </xdr:to>
    <xdr:pic>
      <xdr:nvPicPr>
        <xdr:cNvPr id="18" name="Picture 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36397" y="96667983"/>
          <a:ext cx="573308" cy="434009"/>
        </a:xfrm>
        <a:prstGeom prst="rect">
          <a:avLst/>
        </a:prstGeom>
        <a:noFill/>
      </xdr:spPr>
    </xdr:pic>
    <xdr:clientData/>
  </xdr:twoCellAnchor>
  <xdr:twoCellAnchor>
    <xdr:from>
      <xdr:col>4</xdr:col>
      <xdr:colOff>79513</xdr:colOff>
      <xdr:row>556</xdr:row>
      <xdr:rowOff>19878</xdr:rowOff>
    </xdr:from>
    <xdr:to>
      <xdr:col>4</xdr:col>
      <xdr:colOff>652821</xdr:colOff>
      <xdr:row>558</xdr:row>
      <xdr:rowOff>109331</xdr:rowOff>
    </xdr:to>
    <xdr:pic>
      <xdr:nvPicPr>
        <xdr:cNvPr id="19" name="Picture 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3233530" y="96999287"/>
          <a:ext cx="573308" cy="434009"/>
        </a:xfrm>
        <a:prstGeom prst="rect">
          <a:avLst/>
        </a:prstGeom>
        <a:noFill/>
      </xdr:spPr>
    </xdr:pic>
    <xdr:clientData/>
  </xdr:twoCellAnchor>
  <xdr:twoCellAnchor>
    <xdr:from>
      <xdr:col>0</xdr:col>
      <xdr:colOff>79513</xdr:colOff>
      <xdr:row>578</xdr:row>
      <xdr:rowOff>19878</xdr:rowOff>
    </xdr:from>
    <xdr:to>
      <xdr:col>4</xdr:col>
      <xdr:colOff>296517</xdr:colOff>
      <xdr:row>580</xdr:row>
      <xdr:rowOff>96078</xdr:rowOff>
    </xdr:to>
    <xdr:pic>
      <xdr:nvPicPr>
        <xdr:cNvPr id="20" name="Picture 1">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79513" y="101438765"/>
          <a:ext cx="3583056" cy="420756"/>
        </a:xfrm>
        <a:prstGeom prst="rect">
          <a:avLst/>
        </a:prstGeom>
        <a:noFill/>
      </xdr:spPr>
    </xdr:pic>
    <xdr:clientData/>
  </xdr:twoCellAnchor>
  <xdr:twoCellAnchor>
    <xdr:from>
      <xdr:col>0</xdr:col>
      <xdr:colOff>19879</xdr:colOff>
      <xdr:row>582</xdr:row>
      <xdr:rowOff>79513</xdr:rowOff>
    </xdr:from>
    <xdr:to>
      <xdr:col>1</xdr:col>
      <xdr:colOff>39757</xdr:colOff>
      <xdr:row>584</xdr:row>
      <xdr:rowOff>168966</xdr:rowOff>
    </xdr:to>
    <xdr:pic>
      <xdr:nvPicPr>
        <xdr:cNvPr id="21" name="Picture 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r="79630"/>
        <a:stretch>
          <a:fillRect/>
        </a:stretch>
      </xdr:blipFill>
      <xdr:spPr bwMode="auto">
        <a:xfrm>
          <a:off x="19879" y="97058922"/>
          <a:ext cx="629478" cy="434009"/>
        </a:xfrm>
        <a:prstGeom prst="rect">
          <a:avLst/>
        </a:prstGeom>
        <a:noFill/>
      </xdr:spPr>
    </xdr:pic>
    <xdr:clientData/>
  </xdr:twoCellAnchor>
  <xdr:twoCellAnchor>
    <xdr:from>
      <xdr:col>0</xdr:col>
      <xdr:colOff>23146</xdr:colOff>
      <xdr:row>580</xdr:row>
      <xdr:rowOff>119271</xdr:rowOff>
    </xdr:from>
    <xdr:to>
      <xdr:col>0</xdr:col>
      <xdr:colOff>616226</xdr:colOff>
      <xdr:row>582</xdr:row>
      <xdr:rowOff>69575</xdr:rowOff>
    </xdr:to>
    <xdr:pic>
      <xdr:nvPicPr>
        <xdr:cNvPr id="22" name="Picture 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23146" y="101882714"/>
          <a:ext cx="593080" cy="294861"/>
        </a:xfrm>
        <a:prstGeom prst="rect">
          <a:avLst/>
        </a:prstGeom>
        <a:noFill/>
      </xdr:spPr>
    </xdr:pic>
    <xdr:clientData/>
  </xdr:twoCellAnchor>
  <xdr:twoCellAnchor>
    <xdr:from>
      <xdr:col>4</xdr:col>
      <xdr:colOff>79513</xdr:colOff>
      <xdr:row>582</xdr:row>
      <xdr:rowOff>19878</xdr:rowOff>
    </xdr:from>
    <xdr:to>
      <xdr:col>4</xdr:col>
      <xdr:colOff>652821</xdr:colOff>
      <xdr:row>584</xdr:row>
      <xdr:rowOff>109331</xdr:rowOff>
    </xdr:to>
    <xdr:pic>
      <xdr:nvPicPr>
        <xdr:cNvPr id="23" name="Picture 1">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3233530" y="96999287"/>
          <a:ext cx="573308" cy="434009"/>
        </a:xfrm>
        <a:prstGeom prst="rect">
          <a:avLst/>
        </a:prstGeom>
        <a:noFill/>
      </xdr:spPr>
    </xdr:pic>
    <xdr:clientData/>
  </xdr:twoCellAnchor>
  <xdr:twoCellAnchor>
    <xdr:from>
      <xdr:col>0</xdr:col>
      <xdr:colOff>86139</xdr:colOff>
      <xdr:row>597</xdr:row>
      <xdr:rowOff>0</xdr:rowOff>
    </xdr:from>
    <xdr:to>
      <xdr:col>4</xdr:col>
      <xdr:colOff>303143</xdr:colOff>
      <xdr:row>599</xdr:row>
      <xdr:rowOff>76201</xdr:rowOff>
    </xdr:to>
    <xdr:pic>
      <xdr:nvPicPr>
        <xdr:cNvPr id="24" name="Picture 1">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86139" y="104460261"/>
          <a:ext cx="3583056" cy="420757"/>
        </a:xfrm>
        <a:prstGeom prst="rect">
          <a:avLst/>
        </a:prstGeom>
        <a:noFill/>
      </xdr:spPr>
    </xdr:pic>
    <xdr:clientData/>
  </xdr:twoCellAnchor>
  <xdr:twoCellAnchor>
    <xdr:from>
      <xdr:col>0</xdr:col>
      <xdr:colOff>59636</xdr:colOff>
      <xdr:row>601</xdr:row>
      <xdr:rowOff>145774</xdr:rowOff>
    </xdr:from>
    <xdr:to>
      <xdr:col>1</xdr:col>
      <xdr:colOff>79514</xdr:colOff>
      <xdr:row>604</xdr:row>
      <xdr:rowOff>49697</xdr:rowOff>
    </xdr:to>
    <xdr:pic>
      <xdr:nvPicPr>
        <xdr:cNvPr id="25" name="Picture 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r="79630"/>
        <a:stretch>
          <a:fillRect/>
        </a:stretch>
      </xdr:blipFill>
      <xdr:spPr bwMode="auto">
        <a:xfrm>
          <a:off x="59636" y="105295148"/>
          <a:ext cx="841513" cy="434010"/>
        </a:xfrm>
        <a:prstGeom prst="rect">
          <a:avLst/>
        </a:prstGeom>
        <a:noFill/>
      </xdr:spPr>
    </xdr:pic>
    <xdr:clientData/>
  </xdr:twoCellAnchor>
  <xdr:twoCellAnchor>
    <xdr:from>
      <xdr:col>0</xdr:col>
      <xdr:colOff>168920</xdr:colOff>
      <xdr:row>599</xdr:row>
      <xdr:rowOff>92768</xdr:rowOff>
    </xdr:from>
    <xdr:to>
      <xdr:col>0</xdr:col>
      <xdr:colOff>762000</xdr:colOff>
      <xdr:row>601</xdr:row>
      <xdr:rowOff>43071</xdr:rowOff>
    </xdr:to>
    <xdr:pic>
      <xdr:nvPicPr>
        <xdr:cNvPr id="26" name="Picture 1">
          <a:extLst>
            <a:ext uri="{FF2B5EF4-FFF2-40B4-BE49-F238E27FC236}">
              <a16:creationId xmlns:a16="http://schemas.microsoft.com/office/drawing/2014/main" id="{00000000-0008-0000-0600-00001A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168920" y="104897585"/>
          <a:ext cx="593080" cy="294860"/>
        </a:xfrm>
        <a:prstGeom prst="rect">
          <a:avLst/>
        </a:prstGeom>
        <a:noFill/>
      </xdr:spPr>
    </xdr:pic>
    <xdr:clientData/>
  </xdr:twoCellAnchor>
  <xdr:twoCellAnchor>
    <xdr:from>
      <xdr:col>4</xdr:col>
      <xdr:colOff>79513</xdr:colOff>
      <xdr:row>601</xdr:row>
      <xdr:rowOff>19878</xdr:rowOff>
    </xdr:from>
    <xdr:to>
      <xdr:col>4</xdr:col>
      <xdr:colOff>652821</xdr:colOff>
      <xdr:row>603</xdr:row>
      <xdr:rowOff>109331</xdr:rowOff>
    </xdr:to>
    <xdr:pic>
      <xdr:nvPicPr>
        <xdr:cNvPr id="27" name="Picture 1">
          <a:extLst>
            <a:ext uri="{FF2B5EF4-FFF2-40B4-BE49-F238E27FC236}">
              <a16:creationId xmlns:a16="http://schemas.microsoft.com/office/drawing/2014/main" id="{00000000-0008-0000-0600-00001B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3445565" y="101783321"/>
          <a:ext cx="573308" cy="434010"/>
        </a:xfrm>
        <a:prstGeom prst="rect">
          <a:avLst/>
        </a:prstGeom>
        <a:noFill/>
      </xdr:spPr>
    </xdr:pic>
    <xdr:clientData/>
  </xdr:twoCellAnchor>
  <xdr:twoCellAnchor>
    <xdr:from>
      <xdr:col>0</xdr:col>
      <xdr:colOff>86139</xdr:colOff>
      <xdr:row>618</xdr:row>
      <xdr:rowOff>0</xdr:rowOff>
    </xdr:from>
    <xdr:to>
      <xdr:col>4</xdr:col>
      <xdr:colOff>303143</xdr:colOff>
      <xdr:row>620</xdr:row>
      <xdr:rowOff>76201</xdr:rowOff>
    </xdr:to>
    <xdr:pic>
      <xdr:nvPicPr>
        <xdr:cNvPr id="36" name="Picture 1">
          <a:extLst>
            <a:ext uri="{FF2B5EF4-FFF2-40B4-BE49-F238E27FC236}">
              <a16:creationId xmlns:a16="http://schemas.microsoft.com/office/drawing/2014/main" id="{00000000-0008-0000-0600-000024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86139" y="104460261"/>
          <a:ext cx="3583056" cy="420757"/>
        </a:xfrm>
        <a:prstGeom prst="rect">
          <a:avLst/>
        </a:prstGeom>
        <a:noFill/>
      </xdr:spPr>
    </xdr:pic>
    <xdr:clientData/>
  </xdr:twoCellAnchor>
  <xdr:twoCellAnchor>
    <xdr:from>
      <xdr:col>0</xdr:col>
      <xdr:colOff>59636</xdr:colOff>
      <xdr:row>622</xdr:row>
      <xdr:rowOff>145774</xdr:rowOff>
    </xdr:from>
    <xdr:to>
      <xdr:col>1</xdr:col>
      <xdr:colOff>79514</xdr:colOff>
      <xdr:row>625</xdr:row>
      <xdr:rowOff>49697</xdr:rowOff>
    </xdr:to>
    <xdr:pic>
      <xdr:nvPicPr>
        <xdr:cNvPr id="37" name="Picture 1">
          <a:extLst>
            <a:ext uri="{FF2B5EF4-FFF2-40B4-BE49-F238E27FC236}">
              <a16:creationId xmlns:a16="http://schemas.microsoft.com/office/drawing/2014/main" id="{00000000-0008-0000-0600-00002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r="79630"/>
        <a:stretch>
          <a:fillRect/>
        </a:stretch>
      </xdr:blipFill>
      <xdr:spPr bwMode="auto">
        <a:xfrm>
          <a:off x="59636" y="105295148"/>
          <a:ext cx="841513" cy="434010"/>
        </a:xfrm>
        <a:prstGeom prst="rect">
          <a:avLst/>
        </a:prstGeom>
        <a:noFill/>
      </xdr:spPr>
    </xdr:pic>
    <xdr:clientData/>
  </xdr:twoCellAnchor>
  <xdr:twoCellAnchor>
    <xdr:from>
      <xdr:col>0</xdr:col>
      <xdr:colOff>168920</xdr:colOff>
      <xdr:row>620</xdr:row>
      <xdr:rowOff>92768</xdr:rowOff>
    </xdr:from>
    <xdr:to>
      <xdr:col>0</xdr:col>
      <xdr:colOff>762000</xdr:colOff>
      <xdr:row>622</xdr:row>
      <xdr:rowOff>43071</xdr:rowOff>
    </xdr:to>
    <xdr:pic>
      <xdr:nvPicPr>
        <xdr:cNvPr id="38" name="Picture 1">
          <a:extLst>
            <a:ext uri="{FF2B5EF4-FFF2-40B4-BE49-F238E27FC236}">
              <a16:creationId xmlns:a16="http://schemas.microsoft.com/office/drawing/2014/main" id="{00000000-0008-0000-0600-00002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168920" y="104897585"/>
          <a:ext cx="593080" cy="294860"/>
        </a:xfrm>
        <a:prstGeom prst="rect">
          <a:avLst/>
        </a:prstGeom>
        <a:noFill/>
      </xdr:spPr>
    </xdr:pic>
    <xdr:clientData/>
  </xdr:twoCellAnchor>
  <xdr:twoCellAnchor>
    <xdr:from>
      <xdr:col>4</xdr:col>
      <xdr:colOff>79513</xdr:colOff>
      <xdr:row>622</xdr:row>
      <xdr:rowOff>19878</xdr:rowOff>
    </xdr:from>
    <xdr:to>
      <xdr:col>4</xdr:col>
      <xdr:colOff>652821</xdr:colOff>
      <xdr:row>624</xdr:row>
      <xdr:rowOff>109331</xdr:rowOff>
    </xdr:to>
    <xdr:pic>
      <xdr:nvPicPr>
        <xdr:cNvPr id="39" name="Picture 1">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l="23674" r="59185"/>
        <a:stretch>
          <a:fillRect/>
        </a:stretch>
      </xdr:blipFill>
      <xdr:spPr bwMode="auto">
        <a:xfrm>
          <a:off x="3445565" y="105169252"/>
          <a:ext cx="573308" cy="434009"/>
        </a:xfrm>
        <a:prstGeom prst="rect">
          <a:avLst/>
        </a:prstGeom>
        <a:noFill/>
      </xdr:spPr>
    </xdr:pic>
    <xdr:clientData/>
  </xdr:twoCellAnchor>
  <xdr:twoCellAnchor>
    <xdr:from>
      <xdr:col>0</xdr:col>
      <xdr:colOff>0</xdr:colOff>
      <xdr:row>643</xdr:row>
      <xdr:rowOff>59634</xdr:rowOff>
    </xdr:from>
    <xdr:to>
      <xdr:col>1</xdr:col>
      <xdr:colOff>205903</xdr:colOff>
      <xdr:row>645</xdr:row>
      <xdr:rowOff>164327</xdr:rowOff>
    </xdr:to>
    <xdr:pic>
      <xdr:nvPicPr>
        <xdr:cNvPr id="45" name="Picture 2">
          <a:extLst>
            <a:ext uri="{FF2B5EF4-FFF2-40B4-BE49-F238E27FC236}">
              <a16:creationId xmlns:a16="http://schemas.microsoft.com/office/drawing/2014/main" id="{00000000-0008-0000-0600-00002D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12802504"/>
          <a:ext cx="1027538" cy="449249"/>
        </a:xfrm>
        <a:prstGeom prst="rect">
          <a:avLst/>
        </a:prstGeom>
        <a:noFill/>
      </xdr:spPr>
    </xdr:pic>
    <xdr:clientData/>
  </xdr:twoCellAnchor>
  <xdr:twoCellAnchor>
    <xdr:from>
      <xdr:col>0</xdr:col>
      <xdr:colOff>0</xdr:colOff>
      <xdr:row>660</xdr:row>
      <xdr:rowOff>59634</xdr:rowOff>
    </xdr:from>
    <xdr:to>
      <xdr:col>1</xdr:col>
      <xdr:colOff>205903</xdr:colOff>
      <xdr:row>662</xdr:row>
      <xdr:rowOff>164327</xdr:rowOff>
    </xdr:to>
    <xdr:pic>
      <xdr:nvPicPr>
        <xdr:cNvPr id="35" name="Picture 2">
          <a:extLst>
            <a:ext uri="{FF2B5EF4-FFF2-40B4-BE49-F238E27FC236}">
              <a16:creationId xmlns:a16="http://schemas.microsoft.com/office/drawing/2014/main" id="{00000000-0008-0000-0600-000023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12802504"/>
          <a:ext cx="1027538" cy="515510"/>
        </a:xfrm>
        <a:prstGeom prst="rect">
          <a:avLst/>
        </a:prstGeom>
        <a:noFill/>
      </xdr:spPr>
    </xdr:pic>
    <xdr:clientData/>
  </xdr:twoCellAnchor>
  <xdr:twoCellAnchor>
    <xdr:from>
      <xdr:col>0</xdr:col>
      <xdr:colOff>0</xdr:colOff>
      <xdr:row>677</xdr:row>
      <xdr:rowOff>59634</xdr:rowOff>
    </xdr:from>
    <xdr:to>
      <xdr:col>1</xdr:col>
      <xdr:colOff>205903</xdr:colOff>
      <xdr:row>679</xdr:row>
      <xdr:rowOff>164327</xdr:rowOff>
    </xdr:to>
    <xdr:pic>
      <xdr:nvPicPr>
        <xdr:cNvPr id="41" name="Picture 2">
          <a:extLst>
            <a:ext uri="{FF2B5EF4-FFF2-40B4-BE49-F238E27FC236}">
              <a16:creationId xmlns:a16="http://schemas.microsoft.com/office/drawing/2014/main" id="{00000000-0008-0000-0600-000029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15923391"/>
          <a:ext cx="1027538" cy="515510"/>
        </a:xfrm>
        <a:prstGeom prst="rect">
          <a:avLst/>
        </a:prstGeom>
        <a:noFill/>
      </xdr:spPr>
    </xdr:pic>
    <xdr:clientData/>
  </xdr:twoCellAnchor>
  <xdr:twoCellAnchor>
    <xdr:from>
      <xdr:col>0</xdr:col>
      <xdr:colOff>0</xdr:colOff>
      <xdr:row>694</xdr:row>
      <xdr:rowOff>79512</xdr:rowOff>
    </xdr:from>
    <xdr:to>
      <xdr:col>1</xdr:col>
      <xdr:colOff>205903</xdr:colOff>
      <xdr:row>697</xdr:row>
      <xdr:rowOff>11927</xdr:rowOff>
    </xdr:to>
    <xdr:pic>
      <xdr:nvPicPr>
        <xdr:cNvPr id="43" name="Picture 2">
          <a:extLst>
            <a:ext uri="{FF2B5EF4-FFF2-40B4-BE49-F238E27FC236}">
              <a16:creationId xmlns:a16="http://schemas.microsoft.com/office/drawing/2014/main" id="{00000000-0008-0000-0600-00002B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22185042"/>
          <a:ext cx="1027538" cy="515511"/>
        </a:xfrm>
        <a:prstGeom prst="rect">
          <a:avLst/>
        </a:prstGeom>
        <a:noFill/>
      </xdr:spPr>
    </xdr:pic>
    <xdr:clientData/>
  </xdr:twoCellAnchor>
  <xdr:twoCellAnchor>
    <xdr:from>
      <xdr:col>0</xdr:col>
      <xdr:colOff>0</xdr:colOff>
      <xdr:row>711</xdr:row>
      <xdr:rowOff>79512</xdr:rowOff>
    </xdr:from>
    <xdr:to>
      <xdr:col>1</xdr:col>
      <xdr:colOff>205903</xdr:colOff>
      <xdr:row>714</xdr:row>
      <xdr:rowOff>11927</xdr:rowOff>
    </xdr:to>
    <xdr:pic>
      <xdr:nvPicPr>
        <xdr:cNvPr id="46" name="Picture 2">
          <a:extLst>
            <a:ext uri="{FF2B5EF4-FFF2-40B4-BE49-F238E27FC236}">
              <a16:creationId xmlns:a16="http://schemas.microsoft.com/office/drawing/2014/main" id="{00000000-0008-0000-0600-00002E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22185042"/>
          <a:ext cx="1027538" cy="515511"/>
        </a:xfrm>
        <a:prstGeom prst="rect">
          <a:avLst/>
        </a:prstGeom>
        <a:noFill/>
      </xdr:spPr>
    </xdr:pic>
    <xdr:clientData/>
  </xdr:twoCellAnchor>
  <xdr:twoCellAnchor>
    <xdr:from>
      <xdr:col>0</xdr:col>
      <xdr:colOff>0</xdr:colOff>
      <xdr:row>707</xdr:row>
      <xdr:rowOff>0</xdr:rowOff>
    </xdr:from>
    <xdr:to>
      <xdr:col>5</xdr:col>
      <xdr:colOff>175260</xdr:colOff>
      <xdr:row>709</xdr:row>
      <xdr:rowOff>91440</xdr:rowOff>
    </xdr:to>
    <xdr:pic>
      <xdr:nvPicPr>
        <xdr:cNvPr id="9" name="Picture 1">
          <a:extLst>
            <a:ext uri="{FF2B5EF4-FFF2-40B4-BE49-F238E27FC236}">
              <a16:creationId xmlns:a16="http://schemas.microsoft.com/office/drawing/2014/main" id="{00000000-0008-0000-0600-000009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0" y="126232920"/>
          <a:ext cx="4457700" cy="449580"/>
        </a:xfrm>
        <a:prstGeom prst="rect">
          <a:avLst/>
        </a:prstGeom>
        <a:noFill/>
      </xdr:spPr>
    </xdr:pic>
    <xdr:clientData/>
  </xdr:twoCellAnchor>
  <xdr:twoCellAnchor>
    <xdr:from>
      <xdr:col>0</xdr:col>
      <xdr:colOff>0</xdr:colOff>
      <xdr:row>690</xdr:row>
      <xdr:rowOff>0</xdr:rowOff>
    </xdr:from>
    <xdr:to>
      <xdr:col>5</xdr:col>
      <xdr:colOff>175260</xdr:colOff>
      <xdr:row>692</xdr:row>
      <xdr:rowOff>104693</xdr:rowOff>
    </xdr:to>
    <xdr:pic>
      <xdr:nvPicPr>
        <xdr:cNvPr id="47" name="Picture 1">
          <a:extLst>
            <a:ext uri="{FF2B5EF4-FFF2-40B4-BE49-F238E27FC236}">
              <a16:creationId xmlns:a16="http://schemas.microsoft.com/office/drawing/2014/main" id="{00000000-0008-0000-0600-00002F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0" y="121350157"/>
          <a:ext cx="4455712" cy="449249"/>
        </a:xfrm>
        <a:prstGeom prst="rect">
          <a:avLst/>
        </a:prstGeom>
        <a:noFill/>
      </xdr:spPr>
    </xdr:pic>
    <xdr:clientData/>
  </xdr:twoCellAnchor>
  <xdr:twoCellAnchor>
    <xdr:from>
      <xdr:col>0</xdr:col>
      <xdr:colOff>39756</xdr:colOff>
      <xdr:row>672</xdr:row>
      <xdr:rowOff>39757</xdr:rowOff>
    </xdr:from>
    <xdr:to>
      <xdr:col>5</xdr:col>
      <xdr:colOff>215016</xdr:colOff>
      <xdr:row>674</xdr:row>
      <xdr:rowOff>144449</xdr:rowOff>
    </xdr:to>
    <xdr:pic>
      <xdr:nvPicPr>
        <xdr:cNvPr id="48" name="Picture 1">
          <a:extLst>
            <a:ext uri="{FF2B5EF4-FFF2-40B4-BE49-F238E27FC236}">
              <a16:creationId xmlns:a16="http://schemas.microsoft.com/office/drawing/2014/main" id="{00000000-0008-0000-0600-000030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39756" y="118030487"/>
          <a:ext cx="4455712" cy="449249"/>
        </a:xfrm>
        <a:prstGeom prst="rect">
          <a:avLst/>
        </a:prstGeom>
        <a:noFill/>
      </xdr:spPr>
    </xdr:pic>
    <xdr:clientData/>
  </xdr:twoCellAnchor>
  <xdr:twoCellAnchor>
    <xdr:from>
      <xdr:col>0</xdr:col>
      <xdr:colOff>0</xdr:colOff>
      <xdr:row>656</xdr:row>
      <xdr:rowOff>0</xdr:rowOff>
    </xdr:from>
    <xdr:to>
      <xdr:col>5</xdr:col>
      <xdr:colOff>175260</xdr:colOff>
      <xdr:row>658</xdr:row>
      <xdr:rowOff>104694</xdr:rowOff>
    </xdr:to>
    <xdr:pic>
      <xdr:nvPicPr>
        <xdr:cNvPr id="49" name="Picture 1">
          <a:extLst>
            <a:ext uri="{FF2B5EF4-FFF2-40B4-BE49-F238E27FC236}">
              <a16:creationId xmlns:a16="http://schemas.microsoft.com/office/drawing/2014/main" id="{00000000-0008-0000-0600-000031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0" y="115108383"/>
          <a:ext cx="4455712" cy="449250"/>
        </a:xfrm>
        <a:prstGeom prst="rect">
          <a:avLst/>
        </a:prstGeom>
        <a:noFill/>
      </xdr:spPr>
    </xdr:pic>
    <xdr:clientData/>
  </xdr:twoCellAnchor>
  <xdr:twoCellAnchor>
    <xdr:from>
      <xdr:col>0</xdr:col>
      <xdr:colOff>0</xdr:colOff>
      <xdr:row>639</xdr:row>
      <xdr:rowOff>0</xdr:rowOff>
    </xdr:from>
    <xdr:to>
      <xdr:col>5</xdr:col>
      <xdr:colOff>175260</xdr:colOff>
      <xdr:row>641</xdr:row>
      <xdr:rowOff>104693</xdr:rowOff>
    </xdr:to>
    <xdr:pic>
      <xdr:nvPicPr>
        <xdr:cNvPr id="51" name="Picture 1">
          <a:extLst>
            <a:ext uri="{FF2B5EF4-FFF2-40B4-BE49-F238E27FC236}">
              <a16:creationId xmlns:a16="http://schemas.microsoft.com/office/drawing/2014/main" id="{00000000-0008-0000-0600-000033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0" y="111987496"/>
          <a:ext cx="4455712" cy="449249"/>
        </a:xfrm>
        <a:prstGeom prst="rect">
          <a:avLst/>
        </a:prstGeom>
        <a:noFill/>
      </xdr:spPr>
    </xdr:pic>
    <xdr:clientData/>
  </xdr:twoCellAnchor>
  <xdr:twoCellAnchor>
    <xdr:from>
      <xdr:col>0</xdr:col>
      <xdr:colOff>0</xdr:colOff>
      <xdr:row>728</xdr:row>
      <xdr:rowOff>79512</xdr:rowOff>
    </xdr:from>
    <xdr:to>
      <xdr:col>1</xdr:col>
      <xdr:colOff>205903</xdr:colOff>
      <xdr:row>731</xdr:row>
      <xdr:rowOff>11927</xdr:rowOff>
    </xdr:to>
    <xdr:pic>
      <xdr:nvPicPr>
        <xdr:cNvPr id="42" name="Picture 2">
          <a:extLst>
            <a:ext uri="{FF2B5EF4-FFF2-40B4-BE49-F238E27FC236}">
              <a16:creationId xmlns:a16="http://schemas.microsoft.com/office/drawing/2014/main" id="{00000000-0008-0000-0600-00002A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25021008"/>
          <a:ext cx="1027538" cy="482380"/>
        </a:xfrm>
        <a:prstGeom prst="rect">
          <a:avLst/>
        </a:prstGeom>
        <a:noFill/>
      </xdr:spPr>
    </xdr:pic>
    <xdr:clientData/>
  </xdr:twoCellAnchor>
  <xdr:twoCellAnchor>
    <xdr:from>
      <xdr:col>0</xdr:col>
      <xdr:colOff>0</xdr:colOff>
      <xdr:row>724</xdr:row>
      <xdr:rowOff>0</xdr:rowOff>
    </xdr:from>
    <xdr:to>
      <xdr:col>5</xdr:col>
      <xdr:colOff>175260</xdr:colOff>
      <xdr:row>726</xdr:row>
      <xdr:rowOff>91440</xdr:rowOff>
    </xdr:to>
    <xdr:pic>
      <xdr:nvPicPr>
        <xdr:cNvPr id="44" name="Picture 1">
          <a:extLst>
            <a:ext uri="{FF2B5EF4-FFF2-40B4-BE49-F238E27FC236}">
              <a16:creationId xmlns:a16="http://schemas.microsoft.com/office/drawing/2014/main" id="{00000000-0008-0000-0600-00002C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0" y="124206000"/>
          <a:ext cx="4455712" cy="449249"/>
        </a:xfrm>
        <a:prstGeom prst="rect">
          <a:avLst/>
        </a:prstGeom>
        <a:noFill/>
      </xdr:spPr>
    </xdr:pic>
    <xdr:clientData/>
  </xdr:twoCellAnchor>
  <xdr:twoCellAnchor>
    <xdr:from>
      <xdr:col>0</xdr:col>
      <xdr:colOff>251790</xdr:colOff>
      <xdr:row>753</xdr:row>
      <xdr:rowOff>66260</xdr:rowOff>
    </xdr:from>
    <xdr:to>
      <xdr:col>0</xdr:col>
      <xdr:colOff>711276</xdr:colOff>
      <xdr:row>756</xdr:row>
      <xdr:rowOff>94753</xdr:rowOff>
    </xdr:to>
    <xdr:pic>
      <xdr:nvPicPr>
        <xdr:cNvPr id="50" name="Picture 1">
          <a:extLst>
            <a:ext uri="{FF2B5EF4-FFF2-40B4-BE49-F238E27FC236}">
              <a16:creationId xmlns:a16="http://schemas.microsoft.com/office/drawing/2014/main" id="{00000000-0008-0000-0600-000032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r="88575"/>
        <a:stretch>
          <a:fillRect/>
        </a:stretch>
      </xdr:blipFill>
      <xdr:spPr bwMode="auto">
        <a:xfrm>
          <a:off x="251790" y="132501860"/>
          <a:ext cx="459486" cy="545328"/>
        </a:xfrm>
        <a:prstGeom prst="rect">
          <a:avLst/>
        </a:prstGeom>
        <a:noFill/>
      </xdr:spPr>
    </xdr:pic>
    <xdr:clientData/>
  </xdr:twoCellAnchor>
  <xdr:twoCellAnchor>
    <xdr:from>
      <xdr:col>0</xdr:col>
      <xdr:colOff>99391</xdr:colOff>
      <xdr:row>770</xdr:row>
      <xdr:rowOff>33131</xdr:rowOff>
    </xdr:from>
    <xdr:to>
      <xdr:col>4</xdr:col>
      <xdr:colOff>708991</xdr:colOff>
      <xdr:row>773</xdr:row>
      <xdr:rowOff>61624</xdr:rowOff>
    </xdr:to>
    <xdr:pic>
      <xdr:nvPicPr>
        <xdr:cNvPr id="53" name="Picture 1">
          <a:extLst>
            <a:ext uri="{FF2B5EF4-FFF2-40B4-BE49-F238E27FC236}">
              <a16:creationId xmlns:a16="http://schemas.microsoft.com/office/drawing/2014/main" id="{00000000-0008-0000-0600-000035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99391" y="131468192"/>
          <a:ext cx="4022035" cy="545328"/>
        </a:xfrm>
        <a:prstGeom prst="rect">
          <a:avLst/>
        </a:prstGeom>
        <a:noFill/>
      </xdr:spPr>
    </xdr:pic>
    <xdr:clientData/>
  </xdr:twoCellAnchor>
  <xdr:twoCellAnchor>
    <xdr:from>
      <xdr:col>0</xdr:col>
      <xdr:colOff>251790</xdr:colOff>
      <xdr:row>776</xdr:row>
      <xdr:rowOff>66260</xdr:rowOff>
    </xdr:from>
    <xdr:to>
      <xdr:col>0</xdr:col>
      <xdr:colOff>711276</xdr:colOff>
      <xdr:row>779</xdr:row>
      <xdr:rowOff>94753</xdr:rowOff>
    </xdr:to>
    <xdr:pic>
      <xdr:nvPicPr>
        <xdr:cNvPr id="54" name="Picture 1">
          <a:extLst>
            <a:ext uri="{FF2B5EF4-FFF2-40B4-BE49-F238E27FC236}">
              <a16:creationId xmlns:a16="http://schemas.microsoft.com/office/drawing/2014/main" id="{00000000-0008-0000-0600-000036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r="88575"/>
        <a:stretch>
          <a:fillRect/>
        </a:stretch>
      </xdr:blipFill>
      <xdr:spPr bwMode="auto">
        <a:xfrm>
          <a:off x="251790" y="132534990"/>
          <a:ext cx="459486" cy="545328"/>
        </a:xfrm>
        <a:prstGeom prst="rect">
          <a:avLst/>
        </a:prstGeom>
        <a:noFill/>
      </xdr:spPr>
    </xdr:pic>
    <xdr:clientData/>
  </xdr:twoCellAnchor>
  <xdr:twoCellAnchor>
    <xdr:from>
      <xdr:col>0</xdr:col>
      <xdr:colOff>165979</xdr:colOff>
      <xdr:row>773</xdr:row>
      <xdr:rowOff>26504</xdr:rowOff>
    </xdr:from>
    <xdr:to>
      <xdr:col>0</xdr:col>
      <xdr:colOff>661434</xdr:colOff>
      <xdr:row>776</xdr:row>
      <xdr:rowOff>54997</xdr:rowOff>
    </xdr:to>
    <xdr:pic>
      <xdr:nvPicPr>
        <xdr:cNvPr id="55" name="Picture 1">
          <a:extLst>
            <a:ext uri="{FF2B5EF4-FFF2-40B4-BE49-F238E27FC236}">
              <a16:creationId xmlns:a16="http://schemas.microsoft.com/office/drawing/2014/main" id="{00000000-0008-0000-0600-000037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l="18789" r="68892"/>
        <a:stretch>
          <a:fillRect/>
        </a:stretch>
      </xdr:blipFill>
      <xdr:spPr bwMode="auto">
        <a:xfrm>
          <a:off x="165979" y="131978400"/>
          <a:ext cx="495455" cy="545327"/>
        </a:xfrm>
        <a:prstGeom prst="rect">
          <a:avLst/>
        </a:prstGeom>
        <a:noFill/>
      </xdr:spPr>
    </xdr:pic>
    <xdr:clientData/>
  </xdr:twoCellAnchor>
  <xdr:twoCellAnchor>
    <xdr:from>
      <xdr:col>0</xdr:col>
      <xdr:colOff>175591</xdr:colOff>
      <xdr:row>787</xdr:row>
      <xdr:rowOff>71231</xdr:rowOff>
    </xdr:from>
    <xdr:to>
      <xdr:col>4</xdr:col>
      <xdr:colOff>785191</xdr:colOff>
      <xdr:row>790</xdr:row>
      <xdr:rowOff>76864</xdr:rowOff>
    </xdr:to>
    <xdr:pic>
      <xdr:nvPicPr>
        <xdr:cNvPr id="56" name="Picture 1">
          <a:extLst>
            <a:ext uri="{FF2B5EF4-FFF2-40B4-BE49-F238E27FC236}">
              <a16:creationId xmlns:a16="http://schemas.microsoft.com/office/drawing/2014/main" id="{00000000-0008-0000-0600-000038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175591" y="141018371"/>
          <a:ext cx="4023360" cy="554273"/>
        </a:xfrm>
        <a:prstGeom prst="rect">
          <a:avLst/>
        </a:prstGeom>
        <a:noFill/>
      </xdr:spPr>
    </xdr:pic>
    <xdr:clientData/>
  </xdr:twoCellAnchor>
  <xdr:twoCellAnchor>
    <xdr:from>
      <xdr:col>0</xdr:col>
      <xdr:colOff>251790</xdr:colOff>
      <xdr:row>794</xdr:row>
      <xdr:rowOff>66260</xdr:rowOff>
    </xdr:from>
    <xdr:to>
      <xdr:col>0</xdr:col>
      <xdr:colOff>711276</xdr:colOff>
      <xdr:row>797</xdr:row>
      <xdr:rowOff>94753</xdr:rowOff>
    </xdr:to>
    <xdr:pic>
      <xdr:nvPicPr>
        <xdr:cNvPr id="57" name="Picture 1">
          <a:extLst>
            <a:ext uri="{FF2B5EF4-FFF2-40B4-BE49-F238E27FC236}">
              <a16:creationId xmlns:a16="http://schemas.microsoft.com/office/drawing/2014/main" id="{00000000-0008-0000-0600-000039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r="88575"/>
        <a:stretch>
          <a:fillRect/>
        </a:stretch>
      </xdr:blipFill>
      <xdr:spPr bwMode="auto">
        <a:xfrm>
          <a:off x="251790" y="136934712"/>
          <a:ext cx="459486" cy="545328"/>
        </a:xfrm>
        <a:prstGeom prst="rect">
          <a:avLst/>
        </a:prstGeom>
        <a:noFill/>
      </xdr:spPr>
    </xdr:pic>
    <xdr:clientData/>
  </xdr:twoCellAnchor>
  <xdr:twoCellAnchor>
    <xdr:from>
      <xdr:col>0</xdr:col>
      <xdr:colOff>165979</xdr:colOff>
      <xdr:row>791</xdr:row>
      <xdr:rowOff>26504</xdr:rowOff>
    </xdr:from>
    <xdr:to>
      <xdr:col>0</xdr:col>
      <xdr:colOff>661434</xdr:colOff>
      <xdr:row>794</xdr:row>
      <xdr:rowOff>54997</xdr:rowOff>
    </xdr:to>
    <xdr:pic>
      <xdr:nvPicPr>
        <xdr:cNvPr id="58" name="Picture 1">
          <a:extLst>
            <a:ext uri="{FF2B5EF4-FFF2-40B4-BE49-F238E27FC236}">
              <a16:creationId xmlns:a16="http://schemas.microsoft.com/office/drawing/2014/main" id="{00000000-0008-0000-0600-00003A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l="18789" r="68892"/>
        <a:stretch>
          <a:fillRect/>
        </a:stretch>
      </xdr:blipFill>
      <xdr:spPr bwMode="auto">
        <a:xfrm>
          <a:off x="165979" y="136378121"/>
          <a:ext cx="495455" cy="545328"/>
        </a:xfrm>
        <a:prstGeom prst="rect">
          <a:avLst/>
        </a:prstGeom>
        <a:noFill/>
      </xdr:spPr>
    </xdr:pic>
    <xdr:clientData/>
  </xdr:twoCellAnchor>
  <xdr:twoCellAnchor>
    <xdr:from>
      <xdr:col>0</xdr:col>
      <xdr:colOff>0</xdr:colOff>
      <xdr:row>832</xdr:row>
      <xdr:rowOff>0</xdr:rowOff>
    </xdr:from>
    <xdr:to>
      <xdr:col>1</xdr:col>
      <xdr:colOff>243840</xdr:colOff>
      <xdr:row>836</xdr:row>
      <xdr:rowOff>53340</xdr:rowOff>
    </xdr:to>
    <xdr:pic>
      <xdr:nvPicPr>
        <xdr:cNvPr id="2051" name="Picture 3">
          <a:extLst>
            <a:ext uri="{FF2B5EF4-FFF2-40B4-BE49-F238E27FC236}">
              <a16:creationId xmlns:a16="http://schemas.microsoft.com/office/drawing/2014/main" id="{00000000-0008-0000-0600-000003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0" y="148087080"/>
          <a:ext cx="1066800" cy="762000"/>
        </a:xfrm>
        <a:prstGeom prst="rect">
          <a:avLst/>
        </a:prstGeom>
        <a:noFill/>
      </xdr:spPr>
    </xdr:pic>
    <xdr:clientData/>
  </xdr:twoCellAnchor>
  <xdr:twoCellAnchor>
    <xdr:from>
      <xdr:col>0</xdr:col>
      <xdr:colOff>144780</xdr:colOff>
      <xdr:row>851</xdr:row>
      <xdr:rowOff>106680</xdr:rowOff>
    </xdr:from>
    <xdr:to>
      <xdr:col>1</xdr:col>
      <xdr:colOff>53340</xdr:colOff>
      <xdr:row>856</xdr:row>
      <xdr:rowOff>17672</xdr:rowOff>
    </xdr:to>
    <xdr:pic>
      <xdr:nvPicPr>
        <xdr:cNvPr id="65" name="Picture 3">
          <a:extLst>
            <a:ext uri="{FF2B5EF4-FFF2-40B4-BE49-F238E27FC236}">
              <a16:creationId xmlns:a16="http://schemas.microsoft.com/office/drawing/2014/main" id="{00000000-0008-0000-0600-000041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r="30369"/>
        <a:stretch>
          <a:fillRect/>
        </a:stretch>
      </xdr:blipFill>
      <xdr:spPr bwMode="auto">
        <a:xfrm>
          <a:off x="144780" y="154160220"/>
          <a:ext cx="731520" cy="817772"/>
        </a:xfrm>
        <a:prstGeom prst="rect">
          <a:avLst/>
        </a:prstGeom>
        <a:noFill/>
      </xdr:spPr>
    </xdr:pic>
    <xdr:clientData/>
  </xdr:twoCellAnchor>
  <xdr:twoCellAnchor>
    <xdr:from>
      <xdr:col>0</xdr:col>
      <xdr:colOff>228600</xdr:colOff>
      <xdr:row>843</xdr:row>
      <xdr:rowOff>182880</xdr:rowOff>
    </xdr:from>
    <xdr:to>
      <xdr:col>5</xdr:col>
      <xdr:colOff>304800</xdr:colOff>
      <xdr:row>848</xdr:row>
      <xdr:rowOff>60960</xdr:rowOff>
    </xdr:to>
    <xdr:pic>
      <xdr:nvPicPr>
        <xdr:cNvPr id="2052" name="Picture 4">
          <a:extLst>
            <a:ext uri="{FF2B5EF4-FFF2-40B4-BE49-F238E27FC236}">
              <a16:creationId xmlns:a16="http://schemas.microsoft.com/office/drawing/2014/main" id="{00000000-0008-0000-0600-00000408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228600" y="152773380"/>
          <a:ext cx="4358640" cy="784860"/>
        </a:xfrm>
        <a:prstGeom prst="rect">
          <a:avLst/>
        </a:prstGeom>
        <a:noFill/>
      </xdr:spPr>
    </xdr:pic>
    <xdr:clientData/>
  </xdr:twoCellAnchor>
  <xdr:twoCellAnchor>
    <xdr:from>
      <xdr:col>0</xdr:col>
      <xdr:colOff>0</xdr:colOff>
      <xdr:row>864</xdr:row>
      <xdr:rowOff>0</xdr:rowOff>
    </xdr:from>
    <xdr:to>
      <xdr:col>5</xdr:col>
      <xdr:colOff>76200</xdr:colOff>
      <xdr:row>868</xdr:row>
      <xdr:rowOff>76200</xdr:rowOff>
    </xdr:to>
    <xdr:pic>
      <xdr:nvPicPr>
        <xdr:cNvPr id="71" name="Picture 4">
          <a:extLst>
            <a:ext uri="{FF2B5EF4-FFF2-40B4-BE49-F238E27FC236}">
              <a16:creationId xmlns:a16="http://schemas.microsoft.com/office/drawing/2014/main" id="{00000000-0008-0000-0600-000047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0" y="156911040"/>
          <a:ext cx="4358640" cy="784860"/>
        </a:xfrm>
        <a:prstGeom prst="rect">
          <a:avLst/>
        </a:prstGeom>
        <a:noFill/>
      </xdr:spPr>
    </xdr:pic>
    <xdr:clientData/>
  </xdr:twoCellAnchor>
  <xdr:twoCellAnchor>
    <xdr:from>
      <xdr:col>0</xdr:col>
      <xdr:colOff>0</xdr:colOff>
      <xdr:row>871</xdr:row>
      <xdr:rowOff>0</xdr:rowOff>
    </xdr:from>
    <xdr:to>
      <xdr:col>0</xdr:col>
      <xdr:colOff>731520</xdr:colOff>
      <xdr:row>875</xdr:row>
      <xdr:rowOff>86252</xdr:rowOff>
    </xdr:to>
    <xdr:pic>
      <xdr:nvPicPr>
        <xdr:cNvPr id="72" name="Picture 3">
          <a:extLst>
            <a:ext uri="{FF2B5EF4-FFF2-40B4-BE49-F238E27FC236}">
              <a16:creationId xmlns:a16="http://schemas.microsoft.com/office/drawing/2014/main" id="{00000000-0008-0000-0600-000048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r="30369"/>
        <a:stretch>
          <a:fillRect/>
        </a:stretch>
      </xdr:blipFill>
      <xdr:spPr bwMode="auto">
        <a:xfrm>
          <a:off x="0" y="158175960"/>
          <a:ext cx="731520" cy="817772"/>
        </a:xfrm>
        <a:prstGeom prst="rect">
          <a:avLst/>
        </a:prstGeom>
        <a:noFill/>
      </xdr:spPr>
    </xdr:pic>
    <xdr:clientData/>
  </xdr:twoCellAnchor>
  <xdr:twoCellAnchor>
    <xdr:from>
      <xdr:col>0</xdr:col>
      <xdr:colOff>0</xdr:colOff>
      <xdr:row>884</xdr:row>
      <xdr:rowOff>0</xdr:rowOff>
    </xdr:from>
    <xdr:to>
      <xdr:col>5</xdr:col>
      <xdr:colOff>76200</xdr:colOff>
      <xdr:row>888</xdr:row>
      <xdr:rowOff>76200</xdr:rowOff>
    </xdr:to>
    <xdr:pic>
      <xdr:nvPicPr>
        <xdr:cNvPr id="73" name="Picture 4">
          <a:extLst>
            <a:ext uri="{FF2B5EF4-FFF2-40B4-BE49-F238E27FC236}">
              <a16:creationId xmlns:a16="http://schemas.microsoft.com/office/drawing/2014/main" id="{00000000-0008-0000-0600-000049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0" y="156911040"/>
          <a:ext cx="4358640" cy="784860"/>
        </a:xfrm>
        <a:prstGeom prst="rect">
          <a:avLst/>
        </a:prstGeom>
        <a:noFill/>
      </xdr:spPr>
    </xdr:pic>
    <xdr:clientData/>
  </xdr:twoCellAnchor>
  <xdr:twoCellAnchor>
    <xdr:from>
      <xdr:col>0</xdr:col>
      <xdr:colOff>0</xdr:colOff>
      <xdr:row>891</xdr:row>
      <xdr:rowOff>0</xdr:rowOff>
    </xdr:from>
    <xdr:to>
      <xdr:col>0</xdr:col>
      <xdr:colOff>731520</xdr:colOff>
      <xdr:row>895</xdr:row>
      <xdr:rowOff>86252</xdr:rowOff>
    </xdr:to>
    <xdr:pic>
      <xdr:nvPicPr>
        <xdr:cNvPr id="74" name="Picture 3">
          <a:extLst>
            <a:ext uri="{FF2B5EF4-FFF2-40B4-BE49-F238E27FC236}">
              <a16:creationId xmlns:a16="http://schemas.microsoft.com/office/drawing/2014/main" id="{00000000-0008-0000-0600-00004A00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r="30369"/>
        <a:stretch>
          <a:fillRect/>
        </a:stretch>
      </xdr:blipFill>
      <xdr:spPr bwMode="auto">
        <a:xfrm>
          <a:off x="0" y="158175960"/>
          <a:ext cx="731520" cy="817772"/>
        </a:xfrm>
        <a:prstGeom prst="rect">
          <a:avLst/>
        </a:prstGeom>
        <a:noFill/>
      </xdr:spPr>
    </xdr:pic>
    <xdr:clientData/>
  </xdr:twoCellAnchor>
  <xdr:twoCellAnchor>
    <xdr:from>
      <xdr:col>0</xdr:col>
      <xdr:colOff>0</xdr:colOff>
      <xdr:row>903</xdr:row>
      <xdr:rowOff>99060</xdr:rowOff>
    </xdr:from>
    <xdr:to>
      <xdr:col>2</xdr:col>
      <xdr:colOff>289560</xdr:colOff>
      <xdr:row>905</xdr:row>
      <xdr:rowOff>160020</xdr:rowOff>
    </xdr:to>
    <xdr:pic>
      <xdr:nvPicPr>
        <xdr:cNvPr id="2050" name="Picture 2">
          <a:extLst>
            <a:ext uri="{FF2B5EF4-FFF2-40B4-BE49-F238E27FC236}">
              <a16:creationId xmlns:a16="http://schemas.microsoft.com/office/drawing/2014/main" id="{00000000-0008-0000-0600-00000208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a:stretch>
          <a:fillRect/>
        </a:stretch>
      </xdr:blipFill>
      <xdr:spPr bwMode="auto">
        <a:xfrm>
          <a:off x="0" y="165056820"/>
          <a:ext cx="1973580" cy="457200"/>
        </a:xfrm>
        <a:prstGeom prst="rect">
          <a:avLst/>
        </a:prstGeom>
        <a:noFill/>
      </xdr:spPr>
    </xdr:pic>
    <xdr:clientData/>
  </xdr:twoCellAnchor>
  <xdr:twoCellAnchor>
    <xdr:from>
      <xdr:col>0</xdr:col>
      <xdr:colOff>106680</xdr:colOff>
      <xdr:row>911</xdr:row>
      <xdr:rowOff>91440</xdr:rowOff>
    </xdr:from>
    <xdr:to>
      <xdr:col>1</xdr:col>
      <xdr:colOff>13228</xdr:colOff>
      <xdr:row>915</xdr:row>
      <xdr:rowOff>152400</xdr:rowOff>
    </xdr:to>
    <xdr:pic>
      <xdr:nvPicPr>
        <xdr:cNvPr id="66" name="Picture 1">
          <a:extLst>
            <a:ext uri="{FF2B5EF4-FFF2-40B4-BE49-F238E27FC236}">
              <a16:creationId xmlns:a16="http://schemas.microsoft.com/office/drawing/2014/main" id="{00000000-0008-0000-0600-000042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r="85017"/>
        <a:stretch>
          <a:fillRect/>
        </a:stretch>
      </xdr:blipFill>
      <xdr:spPr bwMode="auto">
        <a:xfrm>
          <a:off x="106680" y="166497000"/>
          <a:ext cx="729508" cy="762000"/>
        </a:xfrm>
        <a:prstGeom prst="rect">
          <a:avLst/>
        </a:prstGeom>
        <a:noFill/>
      </xdr:spPr>
    </xdr:pic>
    <xdr:clientData/>
  </xdr:twoCellAnchor>
  <xdr:twoCellAnchor>
    <xdr:from>
      <xdr:col>0</xdr:col>
      <xdr:colOff>175260</xdr:colOff>
      <xdr:row>906</xdr:row>
      <xdr:rowOff>167640</xdr:rowOff>
    </xdr:from>
    <xdr:to>
      <xdr:col>5</xdr:col>
      <xdr:colOff>563880</xdr:colOff>
      <xdr:row>911</xdr:row>
      <xdr:rowOff>45720</xdr:rowOff>
    </xdr:to>
    <xdr:pic>
      <xdr:nvPicPr>
        <xdr:cNvPr id="29" name="Picture 3">
          <a:extLst>
            <a:ext uri="{FF2B5EF4-FFF2-40B4-BE49-F238E27FC236}">
              <a16:creationId xmlns:a16="http://schemas.microsoft.com/office/drawing/2014/main" id="{00000000-0008-0000-0600-00001D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a:stretch>
          <a:fillRect/>
        </a:stretch>
      </xdr:blipFill>
      <xdr:spPr bwMode="auto">
        <a:xfrm>
          <a:off x="175260" y="165696900"/>
          <a:ext cx="4671060" cy="762000"/>
        </a:xfrm>
        <a:prstGeom prst="rect">
          <a:avLst/>
        </a:prstGeom>
        <a:noFill/>
      </xdr:spPr>
    </xdr:pic>
    <xdr:clientData/>
  </xdr:twoCellAnchor>
  <xdr:twoCellAnchor>
    <xdr:from>
      <xdr:col>5</xdr:col>
      <xdr:colOff>25737</xdr:colOff>
      <xdr:row>901</xdr:row>
      <xdr:rowOff>53340</xdr:rowOff>
    </xdr:from>
    <xdr:to>
      <xdr:col>5</xdr:col>
      <xdr:colOff>737126</xdr:colOff>
      <xdr:row>903</xdr:row>
      <xdr:rowOff>59133</xdr:rowOff>
    </xdr:to>
    <xdr:pic>
      <xdr:nvPicPr>
        <xdr:cNvPr id="67" name="Picture 3">
          <a:extLst>
            <a:ext uri="{FF2B5EF4-FFF2-40B4-BE49-F238E27FC236}">
              <a16:creationId xmlns:a16="http://schemas.microsoft.com/office/drawing/2014/main" id="{00000000-0008-0000-0600-000043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l="18495" r="66275" b="47240"/>
        <a:stretch>
          <a:fillRect/>
        </a:stretch>
      </xdr:blipFill>
      <xdr:spPr bwMode="auto">
        <a:xfrm>
          <a:off x="4308177" y="164614860"/>
          <a:ext cx="711389" cy="402033"/>
        </a:xfrm>
        <a:prstGeom prst="rect">
          <a:avLst/>
        </a:prstGeom>
        <a:noFill/>
      </xdr:spPr>
    </xdr:pic>
    <xdr:clientData/>
  </xdr:twoCellAnchor>
  <xdr:twoCellAnchor>
    <xdr:from>
      <xdr:col>0</xdr:col>
      <xdr:colOff>0</xdr:colOff>
      <xdr:row>942</xdr:row>
      <xdr:rowOff>0</xdr:rowOff>
    </xdr:from>
    <xdr:to>
      <xdr:col>6</xdr:col>
      <xdr:colOff>822960</xdr:colOff>
      <xdr:row>947</xdr:row>
      <xdr:rowOff>114300</xdr:rowOff>
    </xdr:to>
    <xdr:pic>
      <xdr:nvPicPr>
        <xdr:cNvPr id="2053" name="Picture 5">
          <a:extLst>
            <a:ext uri="{FF2B5EF4-FFF2-40B4-BE49-F238E27FC236}">
              <a16:creationId xmlns:a16="http://schemas.microsoft.com/office/drawing/2014/main" id="{00000000-0008-0000-0600-00000508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0" y="171815760"/>
          <a:ext cx="5974080" cy="998220"/>
        </a:xfrm>
        <a:prstGeom prst="rect">
          <a:avLst/>
        </a:prstGeom>
        <a:noFill/>
      </xdr:spPr>
    </xdr:pic>
    <xdr:clientData/>
  </xdr:twoCellAnchor>
  <xdr:twoCellAnchor>
    <xdr:from>
      <xdr:col>0</xdr:col>
      <xdr:colOff>116541</xdr:colOff>
      <xdr:row>951</xdr:row>
      <xdr:rowOff>44825</xdr:rowOff>
    </xdr:from>
    <xdr:to>
      <xdr:col>1</xdr:col>
      <xdr:colOff>839104</xdr:colOff>
      <xdr:row>955</xdr:row>
      <xdr:rowOff>119717</xdr:rowOff>
    </xdr:to>
    <xdr:pic>
      <xdr:nvPicPr>
        <xdr:cNvPr id="79" name="Picture 5">
          <a:extLst>
            <a:ext uri="{FF2B5EF4-FFF2-40B4-BE49-F238E27FC236}">
              <a16:creationId xmlns:a16="http://schemas.microsoft.com/office/drawing/2014/main" id="{00000000-0008-0000-0600-00004F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l="25910" r="48204" b="21637"/>
        <a:stretch>
          <a:fillRect/>
        </a:stretch>
      </xdr:blipFill>
      <xdr:spPr bwMode="auto">
        <a:xfrm>
          <a:off x="116541" y="176532990"/>
          <a:ext cx="1547316" cy="792068"/>
        </a:xfrm>
        <a:prstGeom prst="rect">
          <a:avLst/>
        </a:prstGeom>
        <a:noFill/>
      </xdr:spPr>
    </xdr:pic>
    <xdr:clientData/>
  </xdr:twoCellAnchor>
  <xdr:twoCellAnchor>
    <xdr:from>
      <xdr:col>0</xdr:col>
      <xdr:colOff>0</xdr:colOff>
      <xdr:row>981</xdr:row>
      <xdr:rowOff>0</xdr:rowOff>
    </xdr:from>
    <xdr:to>
      <xdr:col>6</xdr:col>
      <xdr:colOff>822960</xdr:colOff>
      <xdr:row>986</xdr:row>
      <xdr:rowOff>114300</xdr:rowOff>
    </xdr:to>
    <xdr:pic>
      <xdr:nvPicPr>
        <xdr:cNvPr id="80" name="Picture 5">
          <a:extLst>
            <a:ext uri="{FF2B5EF4-FFF2-40B4-BE49-F238E27FC236}">
              <a16:creationId xmlns:a16="http://schemas.microsoft.com/office/drawing/2014/main" id="{00000000-0008-0000-0600-000050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0" y="174847624"/>
          <a:ext cx="5986631" cy="1010770"/>
        </a:xfrm>
        <a:prstGeom prst="rect">
          <a:avLst/>
        </a:prstGeom>
        <a:noFill/>
      </xdr:spPr>
    </xdr:pic>
    <xdr:clientData/>
  </xdr:twoCellAnchor>
  <xdr:twoCellAnchor>
    <xdr:from>
      <xdr:col>0</xdr:col>
      <xdr:colOff>116541</xdr:colOff>
      <xdr:row>990</xdr:row>
      <xdr:rowOff>44825</xdr:rowOff>
    </xdr:from>
    <xdr:to>
      <xdr:col>1</xdr:col>
      <xdr:colOff>839104</xdr:colOff>
      <xdr:row>994</xdr:row>
      <xdr:rowOff>119717</xdr:rowOff>
    </xdr:to>
    <xdr:pic>
      <xdr:nvPicPr>
        <xdr:cNvPr id="81" name="Picture 5">
          <a:extLst>
            <a:ext uri="{FF2B5EF4-FFF2-40B4-BE49-F238E27FC236}">
              <a16:creationId xmlns:a16="http://schemas.microsoft.com/office/drawing/2014/main" id="{00000000-0008-0000-0600-000051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l="25910" r="48204" b="21637"/>
        <a:stretch>
          <a:fillRect/>
        </a:stretch>
      </xdr:blipFill>
      <xdr:spPr bwMode="auto">
        <a:xfrm>
          <a:off x="116541" y="176532990"/>
          <a:ext cx="1547316" cy="792068"/>
        </a:xfrm>
        <a:prstGeom prst="rect">
          <a:avLst/>
        </a:prstGeom>
        <a:noFill/>
      </xdr:spPr>
    </xdr:pic>
    <xdr:clientData/>
  </xdr:twoCellAnchor>
  <xdr:twoCellAnchor>
    <xdr:from>
      <xdr:col>0</xdr:col>
      <xdr:colOff>116541</xdr:colOff>
      <xdr:row>1029</xdr:row>
      <xdr:rowOff>44825</xdr:rowOff>
    </xdr:from>
    <xdr:to>
      <xdr:col>1</xdr:col>
      <xdr:colOff>839104</xdr:colOff>
      <xdr:row>1033</xdr:row>
      <xdr:rowOff>119717</xdr:rowOff>
    </xdr:to>
    <xdr:pic>
      <xdr:nvPicPr>
        <xdr:cNvPr id="83" name="Picture 5">
          <a:extLst>
            <a:ext uri="{FF2B5EF4-FFF2-40B4-BE49-F238E27FC236}">
              <a16:creationId xmlns:a16="http://schemas.microsoft.com/office/drawing/2014/main" id="{00000000-0008-0000-0600-000053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l="25910" r="48204" b="21637"/>
        <a:stretch>
          <a:fillRect/>
        </a:stretch>
      </xdr:blipFill>
      <xdr:spPr bwMode="auto">
        <a:xfrm>
          <a:off x="116541" y="183606143"/>
          <a:ext cx="1547316" cy="792068"/>
        </a:xfrm>
        <a:prstGeom prst="rect">
          <a:avLst/>
        </a:prstGeom>
        <a:noFill/>
      </xdr:spPr>
    </xdr:pic>
    <xdr:clientData/>
  </xdr:twoCellAnchor>
  <xdr:twoCellAnchor>
    <xdr:from>
      <xdr:col>0</xdr:col>
      <xdr:colOff>0</xdr:colOff>
      <xdr:row>1019</xdr:row>
      <xdr:rowOff>0</xdr:rowOff>
    </xdr:from>
    <xdr:to>
      <xdr:col>6</xdr:col>
      <xdr:colOff>815340</xdr:colOff>
      <xdr:row>1024</xdr:row>
      <xdr:rowOff>91440</xdr:rowOff>
    </xdr:to>
    <xdr:pic>
      <xdr:nvPicPr>
        <xdr:cNvPr id="2054" name="Picture 6">
          <a:extLst>
            <a:ext uri="{FF2B5EF4-FFF2-40B4-BE49-F238E27FC236}">
              <a16:creationId xmlns:a16="http://schemas.microsoft.com/office/drawing/2014/main" id="{00000000-0008-0000-0600-00000608000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blip>
        <a:srcRect/>
        <a:stretch>
          <a:fillRect/>
        </a:stretch>
      </xdr:blipFill>
      <xdr:spPr bwMode="auto">
        <a:xfrm>
          <a:off x="0" y="185486040"/>
          <a:ext cx="5974080" cy="982980"/>
        </a:xfrm>
        <a:prstGeom prst="rect">
          <a:avLst/>
        </a:prstGeom>
        <a:noFill/>
      </xdr:spPr>
    </xdr:pic>
    <xdr:clientData/>
  </xdr:twoCellAnchor>
  <xdr:twoCellAnchor>
    <xdr:from>
      <xdr:col>0</xdr:col>
      <xdr:colOff>0</xdr:colOff>
      <xdr:row>748</xdr:row>
      <xdr:rowOff>0</xdr:rowOff>
    </xdr:from>
    <xdr:to>
      <xdr:col>2</xdr:col>
      <xdr:colOff>464820</xdr:colOff>
      <xdr:row>751</xdr:row>
      <xdr:rowOff>15240</xdr:rowOff>
    </xdr:to>
    <xdr:pic>
      <xdr:nvPicPr>
        <xdr:cNvPr id="3073" name="Picture 1">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a:stretch>
          <a:fillRect/>
        </a:stretch>
      </xdr:blipFill>
      <xdr:spPr bwMode="auto">
        <a:xfrm>
          <a:off x="0" y="133563360"/>
          <a:ext cx="2148840" cy="548640"/>
        </a:xfrm>
        <a:prstGeom prst="rect">
          <a:avLst/>
        </a:prstGeom>
        <a:noFill/>
      </xdr:spPr>
    </xdr:pic>
    <xdr:clientData/>
  </xdr:twoCellAnchor>
  <xdr:twoCellAnchor>
    <xdr:from>
      <xdr:col>0</xdr:col>
      <xdr:colOff>163926</xdr:colOff>
      <xdr:row>750</xdr:row>
      <xdr:rowOff>153698</xdr:rowOff>
    </xdr:from>
    <xdr:to>
      <xdr:col>0</xdr:col>
      <xdr:colOff>621202</xdr:colOff>
      <xdr:row>752</xdr:row>
      <xdr:rowOff>57900</xdr:rowOff>
    </xdr:to>
    <xdr:pic>
      <xdr:nvPicPr>
        <xdr:cNvPr id="75" name="Picture 1">
          <a:extLst>
            <a:ext uri="{FF2B5EF4-FFF2-40B4-BE49-F238E27FC236}">
              <a16:creationId xmlns:a16="http://schemas.microsoft.com/office/drawing/2014/main" id="{00000000-0008-0000-0600-00004B00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l="26803" t="19683" r="51931" b="32805"/>
        <a:stretch>
          <a:fillRect/>
        </a:stretch>
      </xdr:blipFill>
      <xdr:spPr bwMode="auto">
        <a:xfrm>
          <a:off x="163926" y="136722027"/>
          <a:ext cx="457276" cy="262791"/>
        </a:xfrm>
        <a:prstGeom prst="rect">
          <a:avLst/>
        </a:prstGeom>
        <a:noFill/>
      </xdr:spPr>
    </xdr:pic>
    <xdr:clientData/>
  </xdr:twoCellAnchor>
  <xdr:twoCellAnchor>
    <xdr:from>
      <xdr:col>0</xdr:col>
      <xdr:colOff>298938</xdr:colOff>
      <xdr:row>1067</xdr:row>
      <xdr:rowOff>5862</xdr:rowOff>
    </xdr:from>
    <xdr:to>
      <xdr:col>0</xdr:col>
      <xdr:colOff>443718</xdr:colOff>
      <xdr:row>1068</xdr:row>
      <xdr:rowOff>28722</xdr:rowOff>
    </xdr:to>
    <xdr:pic>
      <xdr:nvPicPr>
        <xdr:cNvPr id="10" name="Picture 1">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298938" y="194661693"/>
          <a:ext cx="144780" cy="204567"/>
        </a:xfrm>
        <a:prstGeom prst="rect">
          <a:avLst/>
        </a:prstGeom>
        <a:noFill/>
      </xdr:spPr>
    </xdr:pic>
    <xdr:clientData/>
  </xdr:twoCellAnchor>
  <xdr:twoCellAnchor>
    <xdr:from>
      <xdr:col>0</xdr:col>
      <xdr:colOff>275492</xdr:colOff>
      <xdr:row>1068</xdr:row>
      <xdr:rowOff>5861</xdr:rowOff>
    </xdr:from>
    <xdr:to>
      <xdr:col>0</xdr:col>
      <xdr:colOff>420272</xdr:colOff>
      <xdr:row>1069</xdr:row>
      <xdr:rowOff>51581</xdr:rowOff>
    </xdr:to>
    <xdr:pic>
      <xdr:nvPicPr>
        <xdr:cNvPr id="28" name="Picture 2">
          <a:extLst>
            <a:ext uri="{FF2B5EF4-FFF2-40B4-BE49-F238E27FC236}">
              <a16:creationId xmlns:a16="http://schemas.microsoft.com/office/drawing/2014/main" id="{00000000-0008-0000-0600-00001C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275492" y="194843399"/>
          <a:ext cx="144780" cy="227428"/>
        </a:xfrm>
        <a:prstGeom prst="rect">
          <a:avLst/>
        </a:prstGeom>
        <a:noFill/>
      </xdr:spPr>
    </xdr:pic>
    <xdr:clientData/>
  </xdr:twoCellAnchor>
  <xdr:twoCellAnchor>
    <xdr:from>
      <xdr:col>0</xdr:col>
      <xdr:colOff>46893</xdr:colOff>
      <xdr:row>1068</xdr:row>
      <xdr:rowOff>175847</xdr:rowOff>
    </xdr:from>
    <xdr:to>
      <xdr:col>1</xdr:col>
      <xdr:colOff>11138</xdr:colOff>
      <xdr:row>1070</xdr:row>
      <xdr:rowOff>55099</xdr:rowOff>
    </xdr:to>
    <xdr:pic>
      <xdr:nvPicPr>
        <xdr:cNvPr id="30" name="Picture 3">
          <a:extLst>
            <a:ext uri="{FF2B5EF4-FFF2-40B4-BE49-F238E27FC236}">
              <a16:creationId xmlns:a16="http://schemas.microsoft.com/office/drawing/2014/main" id="{00000000-0008-0000-0600-00001E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46893" y="195013385"/>
          <a:ext cx="784860" cy="242668"/>
        </a:xfrm>
        <a:prstGeom prst="rect">
          <a:avLst/>
        </a:prstGeom>
        <a:noFill/>
      </xdr:spPr>
    </xdr:pic>
    <xdr:clientData/>
  </xdr:twoCellAnchor>
  <xdr:twoCellAnchor>
    <xdr:from>
      <xdr:col>0</xdr:col>
      <xdr:colOff>152400</xdr:colOff>
      <xdr:row>1071</xdr:row>
      <xdr:rowOff>0</xdr:rowOff>
    </xdr:from>
    <xdr:to>
      <xdr:col>0</xdr:col>
      <xdr:colOff>297180</xdr:colOff>
      <xdr:row>1072</xdr:row>
      <xdr:rowOff>28721</xdr:rowOff>
    </xdr:to>
    <xdr:pic>
      <xdr:nvPicPr>
        <xdr:cNvPr id="76" name="Picture 1">
          <a:extLst>
            <a:ext uri="{FF2B5EF4-FFF2-40B4-BE49-F238E27FC236}">
              <a16:creationId xmlns:a16="http://schemas.microsoft.com/office/drawing/2014/main" id="{00000000-0008-0000-0600-00004C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152400" y="195376800"/>
          <a:ext cx="144780" cy="204567"/>
        </a:xfrm>
        <a:prstGeom prst="rect">
          <a:avLst/>
        </a:prstGeom>
        <a:noFill/>
      </xdr:spPr>
    </xdr:pic>
    <xdr:clientData/>
  </xdr:twoCellAnchor>
  <xdr:twoCellAnchor>
    <xdr:from>
      <xdr:col>0</xdr:col>
      <xdr:colOff>539261</xdr:colOff>
      <xdr:row>1070</xdr:row>
      <xdr:rowOff>152400</xdr:rowOff>
    </xdr:from>
    <xdr:to>
      <xdr:col>0</xdr:col>
      <xdr:colOff>684041</xdr:colOff>
      <xdr:row>1072</xdr:row>
      <xdr:rowOff>28136</xdr:rowOff>
    </xdr:to>
    <xdr:pic>
      <xdr:nvPicPr>
        <xdr:cNvPr id="77" name="Picture 2">
          <a:extLst>
            <a:ext uri="{FF2B5EF4-FFF2-40B4-BE49-F238E27FC236}">
              <a16:creationId xmlns:a16="http://schemas.microsoft.com/office/drawing/2014/main" id="{00000000-0008-0000-0600-00004D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539261" y="195353354"/>
          <a:ext cx="144780" cy="227428"/>
        </a:xfrm>
        <a:prstGeom prst="rect">
          <a:avLst/>
        </a:prstGeom>
        <a:noFill/>
      </xdr:spPr>
    </xdr:pic>
    <xdr:clientData/>
  </xdr:twoCellAnchor>
  <xdr:twoCellAnchor>
    <xdr:from>
      <xdr:col>3</xdr:col>
      <xdr:colOff>0</xdr:colOff>
      <xdr:row>1071</xdr:row>
      <xdr:rowOff>0</xdr:rowOff>
    </xdr:from>
    <xdr:to>
      <xdr:col>3</xdr:col>
      <xdr:colOff>784860</xdr:colOff>
      <xdr:row>1072</xdr:row>
      <xdr:rowOff>66822</xdr:rowOff>
    </xdr:to>
    <xdr:pic>
      <xdr:nvPicPr>
        <xdr:cNvPr id="78" name="Picture 3">
          <a:extLst>
            <a:ext uri="{FF2B5EF4-FFF2-40B4-BE49-F238E27FC236}">
              <a16:creationId xmlns:a16="http://schemas.microsoft.com/office/drawing/2014/main" id="{00000000-0008-0000-0600-00004E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2549769" y="195376800"/>
          <a:ext cx="784860" cy="242668"/>
        </a:xfrm>
        <a:prstGeom prst="rect">
          <a:avLst/>
        </a:prstGeom>
        <a:noFill/>
      </xdr:spPr>
    </xdr:pic>
    <xdr:clientData/>
  </xdr:twoCellAnchor>
  <xdr:twoCellAnchor>
    <xdr:from>
      <xdr:col>0</xdr:col>
      <xdr:colOff>298938</xdr:colOff>
      <xdr:row>1080</xdr:row>
      <xdr:rowOff>5862</xdr:rowOff>
    </xdr:from>
    <xdr:to>
      <xdr:col>0</xdr:col>
      <xdr:colOff>443718</xdr:colOff>
      <xdr:row>1081</xdr:row>
      <xdr:rowOff>28722</xdr:rowOff>
    </xdr:to>
    <xdr:pic>
      <xdr:nvPicPr>
        <xdr:cNvPr id="87" name="Picture 1">
          <a:extLst>
            <a:ext uri="{FF2B5EF4-FFF2-40B4-BE49-F238E27FC236}">
              <a16:creationId xmlns:a16="http://schemas.microsoft.com/office/drawing/2014/main" id="{00000000-0008-0000-0600-000057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298938" y="194485847"/>
          <a:ext cx="144780" cy="204567"/>
        </a:xfrm>
        <a:prstGeom prst="rect">
          <a:avLst/>
        </a:prstGeom>
        <a:noFill/>
      </xdr:spPr>
    </xdr:pic>
    <xdr:clientData/>
  </xdr:twoCellAnchor>
  <xdr:twoCellAnchor>
    <xdr:from>
      <xdr:col>0</xdr:col>
      <xdr:colOff>275492</xdr:colOff>
      <xdr:row>1081</xdr:row>
      <xdr:rowOff>5861</xdr:rowOff>
    </xdr:from>
    <xdr:to>
      <xdr:col>0</xdr:col>
      <xdr:colOff>420272</xdr:colOff>
      <xdr:row>1082</xdr:row>
      <xdr:rowOff>51581</xdr:rowOff>
    </xdr:to>
    <xdr:pic>
      <xdr:nvPicPr>
        <xdr:cNvPr id="88" name="Picture 2">
          <a:extLst>
            <a:ext uri="{FF2B5EF4-FFF2-40B4-BE49-F238E27FC236}">
              <a16:creationId xmlns:a16="http://schemas.microsoft.com/office/drawing/2014/main" id="{00000000-0008-0000-0600-000058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275492" y="194667553"/>
          <a:ext cx="144780" cy="227428"/>
        </a:xfrm>
        <a:prstGeom prst="rect">
          <a:avLst/>
        </a:prstGeom>
        <a:noFill/>
      </xdr:spPr>
    </xdr:pic>
    <xdr:clientData/>
  </xdr:twoCellAnchor>
  <xdr:twoCellAnchor>
    <xdr:from>
      <xdr:col>0</xdr:col>
      <xdr:colOff>46893</xdr:colOff>
      <xdr:row>1081</xdr:row>
      <xdr:rowOff>175847</xdr:rowOff>
    </xdr:from>
    <xdr:to>
      <xdr:col>1</xdr:col>
      <xdr:colOff>11138</xdr:colOff>
      <xdr:row>1083</xdr:row>
      <xdr:rowOff>55099</xdr:rowOff>
    </xdr:to>
    <xdr:pic>
      <xdr:nvPicPr>
        <xdr:cNvPr id="89" name="Picture 3">
          <a:extLst>
            <a:ext uri="{FF2B5EF4-FFF2-40B4-BE49-F238E27FC236}">
              <a16:creationId xmlns:a16="http://schemas.microsoft.com/office/drawing/2014/main" id="{00000000-0008-0000-0600-000059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46893" y="194837539"/>
          <a:ext cx="784860" cy="242668"/>
        </a:xfrm>
        <a:prstGeom prst="rect">
          <a:avLst/>
        </a:prstGeom>
        <a:noFill/>
      </xdr:spPr>
    </xdr:pic>
    <xdr:clientData/>
  </xdr:twoCellAnchor>
  <xdr:twoCellAnchor>
    <xdr:from>
      <xdr:col>0</xdr:col>
      <xdr:colOff>152400</xdr:colOff>
      <xdr:row>1084</xdr:row>
      <xdr:rowOff>0</xdr:rowOff>
    </xdr:from>
    <xdr:to>
      <xdr:col>0</xdr:col>
      <xdr:colOff>297180</xdr:colOff>
      <xdr:row>1085</xdr:row>
      <xdr:rowOff>28721</xdr:rowOff>
    </xdr:to>
    <xdr:pic>
      <xdr:nvPicPr>
        <xdr:cNvPr id="90" name="Picture 1">
          <a:extLst>
            <a:ext uri="{FF2B5EF4-FFF2-40B4-BE49-F238E27FC236}">
              <a16:creationId xmlns:a16="http://schemas.microsoft.com/office/drawing/2014/main" id="{00000000-0008-0000-0600-00005A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152400" y="195200954"/>
          <a:ext cx="144780" cy="204567"/>
        </a:xfrm>
        <a:prstGeom prst="rect">
          <a:avLst/>
        </a:prstGeom>
        <a:noFill/>
      </xdr:spPr>
    </xdr:pic>
    <xdr:clientData/>
  </xdr:twoCellAnchor>
  <xdr:twoCellAnchor>
    <xdr:from>
      <xdr:col>0</xdr:col>
      <xdr:colOff>539261</xdr:colOff>
      <xdr:row>1083</xdr:row>
      <xdr:rowOff>152400</xdr:rowOff>
    </xdr:from>
    <xdr:to>
      <xdr:col>0</xdr:col>
      <xdr:colOff>684041</xdr:colOff>
      <xdr:row>1085</xdr:row>
      <xdr:rowOff>28136</xdr:rowOff>
    </xdr:to>
    <xdr:pic>
      <xdr:nvPicPr>
        <xdr:cNvPr id="91" name="Picture 2">
          <a:extLst>
            <a:ext uri="{FF2B5EF4-FFF2-40B4-BE49-F238E27FC236}">
              <a16:creationId xmlns:a16="http://schemas.microsoft.com/office/drawing/2014/main" id="{00000000-0008-0000-0600-00005B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539261" y="195177508"/>
          <a:ext cx="144780" cy="227428"/>
        </a:xfrm>
        <a:prstGeom prst="rect">
          <a:avLst/>
        </a:prstGeom>
        <a:noFill/>
      </xdr:spPr>
    </xdr:pic>
    <xdr:clientData/>
  </xdr:twoCellAnchor>
  <xdr:twoCellAnchor>
    <xdr:from>
      <xdr:col>3</xdr:col>
      <xdr:colOff>99647</xdr:colOff>
      <xdr:row>1083</xdr:row>
      <xdr:rowOff>169984</xdr:rowOff>
    </xdr:from>
    <xdr:to>
      <xdr:col>3</xdr:col>
      <xdr:colOff>773807</xdr:colOff>
      <xdr:row>1085</xdr:row>
      <xdr:rowOff>43374</xdr:rowOff>
    </xdr:to>
    <xdr:pic>
      <xdr:nvPicPr>
        <xdr:cNvPr id="92" name="Picture 3">
          <a:extLst>
            <a:ext uri="{FF2B5EF4-FFF2-40B4-BE49-F238E27FC236}">
              <a16:creationId xmlns:a16="http://schemas.microsoft.com/office/drawing/2014/main" id="{00000000-0008-0000-0600-00005C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2649416" y="197955876"/>
          <a:ext cx="674160" cy="225083"/>
        </a:xfrm>
        <a:prstGeom prst="rect">
          <a:avLst/>
        </a:prstGeom>
        <a:noFill/>
      </xdr:spPr>
    </xdr:pic>
    <xdr:clientData/>
  </xdr:twoCellAnchor>
  <xdr:twoCellAnchor>
    <xdr:from>
      <xdr:col>0</xdr:col>
      <xdr:colOff>46892</xdr:colOff>
      <xdr:row>1116</xdr:row>
      <xdr:rowOff>93785</xdr:rowOff>
    </xdr:from>
    <xdr:to>
      <xdr:col>1</xdr:col>
      <xdr:colOff>756138</xdr:colOff>
      <xdr:row>1119</xdr:row>
      <xdr:rowOff>39859</xdr:rowOff>
    </xdr:to>
    <xdr:pic>
      <xdr:nvPicPr>
        <xdr:cNvPr id="2056" name="Picture 8">
          <a:extLst>
            <a:ext uri="{FF2B5EF4-FFF2-40B4-BE49-F238E27FC236}">
              <a16:creationId xmlns:a16="http://schemas.microsoft.com/office/drawing/2014/main" id="{00000000-0008-0000-0600-00000808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46892" y="203717770"/>
          <a:ext cx="1547446" cy="479474"/>
        </a:xfrm>
        <a:prstGeom prst="rect">
          <a:avLst/>
        </a:prstGeom>
        <a:noFill/>
      </xdr:spPr>
    </xdr:pic>
    <xdr:clientData/>
  </xdr:twoCellAnchor>
  <xdr:twoCellAnchor>
    <xdr:from>
      <xdr:col>0</xdr:col>
      <xdr:colOff>222739</xdr:colOff>
      <xdr:row>1122</xdr:row>
      <xdr:rowOff>99647</xdr:rowOff>
    </xdr:from>
    <xdr:to>
      <xdr:col>0</xdr:col>
      <xdr:colOff>615462</xdr:colOff>
      <xdr:row>1125</xdr:row>
      <xdr:rowOff>51582</xdr:rowOff>
    </xdr:to>
    <xdr:pic>
      <xdr:nvPicPr>
        <xdr:cNvPr id="98" name="Picture 8">
          <a:extLst>
            <a:ext uri="{FF2B5EF4-FFF2-40B4-BE49-F238E27FC236}">
              <a16:creationId xmlns:a16="http://schemas.microsoft.com/office/drawing/2014/main" id="{00000000-0008-0000-0600-000062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r="78733"/>
        <a:stretch>
          <a:fillRect/>
        </a:stretch>
      </xdr:blipFill>
      <xdr:spPr bwMode="auto">
        <a:xfrm>
          <a:off x="222739" y="204784570"/>
          <a:ext cx="392723" cy="479474"/>
        </a:xfrm>
        <a:prstGeom prst="rect">
          <a:avLst/>
        </a:prstGeom>
        <a:noFill/>
      </xdr:spPr>
    </xdr:pic>
    <xdr:clientData/>
  </xdr:twoCellAnchor>
  <xdr:twoCellAnchor>
    <xdr:from>
      <xdr:col>0</xdr:col>
      <xdr:colOff>222993</xdr:colOff>
      <xdr:row>1152</xdr:row>
      <xdr:rowOff>109527</xdr:rowOff>
    </xdr:from>
    <xdr:to>
      <xdr:col>0</xdr:col>
      <xdr:colOff>662354</xdr:colOff>
      <xdr:row>1154</xdr:row>
      <xdr:rowOff>158262</xdr:rowOff>
    </xdr:to>
    <xdr:pic>
      <xdr:nvPicPr>
        <xdr:cNvPr id="100" name="Picture 1">
          <a:extLst>
            <a:ext uri="{FF2B5EF4-FFF2-40B4-BE49-F238E27FC236}">
              <a16:creationId xmlns:a16="http://schemas.microsoft.com/office/drawing/2014/main" id="{00000000-0008-0000-0600-00006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r="87227"/>
        <a:stretch>
          <a:fillRect/>
        </a:stretch>
      </xdr:blipFill>
      <xdr:spPr bwMode="auto">
        <a:xfrm>
          <a:off x="222993" y="210169481"/>
          <a:ext cx="439361" cy="400427"/>
        </a:xfrm>
        <a:prstGeom prst="rect">
          <a:avLst/>
        </a:prstGeom>
        <a:noFill/>
      </xdr:spPr>
    </xdr:pic>
    <xdr:clientData/>
  </xdr:twoCellAnchor>
  <xdr:twoCellAnchor>
    <xdr:from>
      <xdr:col>0</xdr:col>
      <xdr:colOff>169985</xdr:colOff>
      <xdr:row>1157</xdr:row>
      <xdr:rowOff>99646</xdr:rowOff>
    </xdr:from>
    <xdr:to>
      <xdr:col>2</xdr:col>
      <xdr:colOff>111369</xdr:colOff>
      <xdr:row>1159</xdr:row>
      <xdr:rowOff>152400</xdr:rowOff>
    </xdr:to>
    <xdr:pic>
      <xdr:nvPicPr>
        <xdr:cNvPr id="2057" name="Picture 9">
          <a:extLst>
            <a:ext uri="{FF2B5EF4-FFF2-40B4-BE49-F238E27FC236}">
              <a16:creationId xmlns:a16="http://schemas.microsoft.com/office/drawing/2014/main" id="{00000000-0008-0000-0600-00000908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169985" y="211038831"/>
          <a:ext cx="1641230" cy="410307"/>
        </a:xfrm>
        <a:prstGeom prst="rect">
          <a:avLst/>
        </a:prstGeom>
        <a:noFill/>
      </xdr:spPr>
    </xdr:pic>
    <xdr:clientData/>
  </xdr:twoCellAnchor>
  <xdr:twoCellAnchor>
    <xdr:from>
      <xdr:col>0</xdr:col>
      <xdr:colOff>234462</xdr:colOff>
      <xdr:row>1160</xdr:row>
      <xdr:rowOff>82061</xdr:rowOff>
    </xdr:from>
    <xdr:to>
      <xdr:col>0</xdr:col>
      <xdr:colOff>644590</xdr:colOff>
      <xdr:row>1163</xdr:row>
      <xdr:rowOff>33997</xdr:rowOff>
    </xdr:to>
    <xdr:pic>
      <xdr:nvPicPr>
        <xdr:cNvPr id="101" name="Picture 9">
          <a:extLst>
            <a:ext uri="{FF2B5EF4-FFF2-40B4-BE49-F238E27FC236}">
              <a16:creationId xmlns:a16="http://schemas.microsoft.com/office/drawing/2014/main" id="{00000000-0008-0000-0600-000065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r="78733"/>
        <a:stretch>
          <a:fillRect/>
        </a:stretch>
      </xdr:blipFill>
      <xdr:spPr bwMode="auto">
        <a:xfrm>
          <a:off x="234462" y="211554646"/>
          <a:ext cx="410128" cy="479474"/>
        </a:xfrm>
        <a:prstGeom prst="rect">
          <a:avLst/>
        </a:prstGeom>
        <a:noFill/>
      </xdr:spPr>
    </xdr:pic>
    <xdr:clientData/>
  </xdr:twoCellAnchor>
  <xdr:twoCellAnchor>
    <xdr:from>
      <xdr:col>0</xdr:col>
      <xdr:colOff>0</xdr:colOff>
      <xdr:row>1207</xdr:row>
      <xdr:rowOff>59634</xdr:rowOff>
    </xdr:from>
    <xdr:to>
      <xdr:col>1</xdr:col>
      <xdr:colOff>205903</xdr:colOff>
      <xdr:row>1209</xdr:row>
      <xdr:rowOff>164327</xdr:rowOff>
    </xdr:to>
    <xdr:pic>
      <xdr:nvPicPr>
        <xdr:cNvPr id="102" name="Picture 2">
          <a:extLst>
            <a:ext uri="{FF2B5EF4-FFF2-40B4-BE49-F238E27FC236}">
              <a16:creationId xmlns:a16="http://schemas.microsoft.com/office/drawing/2014/main" id="{00000000-0008-0000-0600-00006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r="77961"/>
        <a:stretch>
          <a:fillRect/>
        </a:stretch>
      </xdr:blipFill>
      <xdr:spPr bwMode="auto">
        <a:xfrm>
          <a:off x="0" y="112689860"/>
          <a:ext cx="1047416" cy="482380"/>
        </a:xfrm>
        <a:prstGeom prst="rect">
          <a:avLst/>
        </a:prstGeom>
        <a:noFill/>
      </xdr:spPr>
    </xdr:pic>
    <xdr:clientData/>
  </xdr:twoCellAnchor>
  <xdr:twoCellAnchor>
    <xdr:from>
      <xdr:col>0</xdr:col>
      <xdr:colOff>0</xdr:colOff>
      <xdr:row>1213</xdr:row>
      <xdr:rowOff>0</xdr:rowOff>
    </xdr:from>
    <xdr:to>
      <xdr:col>5</xdr:col>
      <xdr:colOff>76200</xdr:colOff>
      <xdr:row>1215</xdr:row>
      <xdr:rowOff>91440</xdr:rowOff>
    </xdr:to>
    <xdr:pic>
      <xdr:nvPicPr>
        <xdr:cNvPr id="2058" name="Picture 10">
          <a:extLst>
            <a:ext uri="{FF2B5EF4-FFF2-40B4-BE49-F238E27FC236}">
              <a16:creationId xmlns:a16="http://schemas.microsoft.com/office/drawing/2014/main" id="{00000000-0008-0000-0600-00000A08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0" y="220332300"/>
          <a:ext cx="4381500" cy="449580"/>
        </a:xfrm>
        <a:prstGeom prst="rect">
          <a:avLst/>
        </a:prstGeom>
        <a:noFill/>
      </xdr:spPr>
    </xdr:pic>
    <xdr:clientData/>
  </xdr:twoCellAnchor>
  <xdr:twoCellAnchor>
    <xdr:from>
      <xdr:col>0</xdr:col>
      <xdr:colOff>0</xdr:colOff>
      <xdr:row>1216</xdr:row>
      <xdr:rowOff>92765</xdr:rowOff>
    </xdr:from>
    <xdr:to>
      <xdr:col>1</xdr:col>
      <xdr:colOff>156614</xdr:colOff>
      <xdr:row>1219</xdr:row>
      <xdr:rowOff>25179</xdr:rowOff>
    </xdr:to>
    <xdr:pic>
      <xdr:nvPicPr>
        <xdr:cNvPr id="104" name="Picture 10">
          <a:extLst>
            <a:ext uri="{FF2B5EF4-FFF2-40B4-BE49-F238E27FC236}">
              <a16:creationId xmlns:a16="http://schemas.microsoft.com/office/drawing/2014/main" id="{00000000-0008-0000-0600-000068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r="77227"/>
        <a:stretch>
          <a:fillRect/>
        </a:stretch>
      </xdr:blipFill>
      <xdr:spPr bwMode="auto">
        <a:xfrm>
          <a:off x="0" y="218084400"/>
          <a:ext cx="998127" cy="449249"/>
        </a:xfrm>
        <a:prstGeom prst="rect">
          <a:avLst/>
        </a:prstGeom>
        <a:noFill/>
      </xdr:spPr>
    </xdr:pic>
    <xdr:clientData/>
  </xdr:twoCellAnchor>
  <xdr:twoCellAnchor>
    <xdr:from>
      <xdr:col>0</xdr:col>
      <xdr:colOff>99392</xdr:colOff>
      <xdr:row>1246</xdr:row>
      <xdr:rowOff>79515</xdr:rowOff>
    </xdr:from>
    <xdr:to>
      <xdr:col>1</xdr:col>
      <xdr:colOff>198452</xdr:colOff>
      <xdr:row>1249</xdr:row>
      <xdr:rowOff>29156</xdr:rowOff>
    </xdr:to>
    <xdr:pic>
      <xdr:nvPicPr>
        <xdr:cNvPr id="2059" name="Picture 11">
          <a:extLst>
            <a:ext uri="{FF2B5EF4-FFF2-40B4-BE49-F238E27FC236}">
              <a16:creationId xmlns:a16="http://schemas.microsoft.com/office/drawing/2014/main" id="{00000000-0008-0000-0600-00000B08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99392" y="223299132"/>
          <a:ext cx="940573" cy="479728"/>
        </a:xfrm>
        <a:prstGeom prst="rect">
          <a:avLst/>
        </a:prstGeom>
        <a:noFill/>
      </xdr:spPr>
    </xdr:pic>
    <xdr:clientData/>
  </xdr:twoCellAnchor>
  <xdr:twoCellAnchor>
    <xdr:from>
      <xdr:col>0</xdr:col>
      <xdr:colOff>106016</xdr:colOff>
      <xdr:row>1254</xdr:row>
      <xdr:rowOff>86140</xdr:rowOff>
    </xdr:from>
    <xdr:to>
      <xdr:col>1</xdr:col>
      <xdr:colOff>205076</xdr:colOff>
      <xdr:row>1257</xdr:row>
      <xdr:rowOff>49033</xdr:rowOff>
    </xdr:to>
    <xdr:pic>
      <xdr:nvPicPr>
        <xdr:cNvPr id="105" name="Picture 11">
          <a:extLst>
            <a:ext uri="{FF2B5EF4-FFF2-40B4-BE49-F238E27FC236}">
              <a16:creationId xmlns:a16="http://schemas.microsoft.com/office/drawing/2014/main" id="{00000000-0008-0000-0600-000069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106016" y="224869514"/>
          <a:ext cx="940573" cy="479728"/>
        </a:xfrm>
        <a:prstGeom prst="rect">
          <a:avLst/>
        </a:prstGeom>
        <a:noFill/>
      </xdr:spPr>
    </xdr:pic>
    <xdr:clientData/>
  </xdr:twoCellAnchor>
  <xdr:twoCellAnchor>
    <xdr:from>
      <xdr:col>3</xdr:col>
      <xdr:colOff>6626</xdr:colOff>
      <xdr:row>1260</xdr:row>
      <xdr:rowOff>46383</xdr:rowOff>
    </xdr:from>
    <xdr:to>
      <xdr:col>4</xdr:col>
      <xdr:colOff>79182</xdr:colOff>
      <xdr:row>1263</xdr:row>
      <xdr:rowOff>9277</xdr:rowOff>
    </xdr:to>
    <xdr:pic>
      <xdr:nvPicPr>
        <xdr:cNvPr id="106" name="Picture 11">
          <a:extLst>
            <a:ext uri="{FF2B5EF4-FFF2-40B4-BE49-F238E27FC236}">
              <a16:creationId xmlns:a16="http://schemas.microsoft.com/office/drawing/2014/main" id="{00000000-0008-0000-0600-00006A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2577548" y="225691148"/>
          <a:ext cx="940573" cy="479729"/>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43</xdr:row>
      <xdr:rowOff>0</xdr:rowOff>
    </xdr:from>
    <xdr:to>
      <xdr:col>7</xdr:col>
      <xdr:colOff>60960</xdr:colOff>
      <xdr:row>45</xdr:row>
      <xdr:rowOff>91440</xdr:rowOff>
    </xdr:to>
    <xdr:pic>
      <xdr:nvPicPr>
        <xdr:cNvPr id="2050" name="Picture 2">
          <a:extLst>
            <a:ext uri="{FF2B5EF4-FFF2-40B4-BE49-F238E27FC236}">
              <a16:creationId xmlns:a16="http://schemas.microsoft.com/office/drawing/2014/main" id="{00000000-0008-0000-0700-00000208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0" y="7650480"/>
          <a:ext cx="4693920" cy="449580"/>
        </a:xfrm>
        <a:prstGeom prst="rect">
          <a:avLst/>
        </a:prstGeom>
        <a:noFill/>
      </xdr:spPr>
    </xdr:pic>
    <xdr:clientData/>
  </xdr:twoCellAnchor>
  <xdr:twoCellAnchor>
    <xdr:from>
      <xdr:col>0</xdr:col>
      <xdr:colOff>152400</xdr:colOff>
      <xdr:row>46</xdr:row>
      <xdr:rowOff>76200</xdr:rowOff>
    </xdr:from>
    <xdr:to>
      <xdr:col>1</xdr:col>
      <xdr:colOff>564986</xdr:colOff>
      <xdr:row>49</xdr:row>
      <xdr:rowOff>0</xdr:rowOff>
    </xdr:to>
    <xdr:pic>
      <xdr:nvPicPr>
        <xdr:cNvPr id="6" name="Picture 2">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r="78222"/>
        <a:stretch>
          <a:fillRect/>
        </a:stretch>
      </xdr:blipFill>
      <xdr:spPr bwMode="auto">
        <a:xfrm>
          <a:off x="152400" y="8260080"/>
          <a:ext cx="1022186" cy="449580"/>
        </a:xfrm>
        <a:prstGeom prst="rect">
          <a:avLst/>
        </a:prstGeom>
        <a:noFill/>
      </xdr:spPr>
    </xdr:pic>
    <xdr:clientData/>
  </xdr:twoCellAnchor>
  <xdr:twoCellAnchor>
    <xdr:from>
      <xdr:col>0</xdr:col>
      <xdr:colOff>152400</xdr:colOff>
      <xdr:row>65</xdr:row>
      <xdr:rowOff>76200</xdr:rowOff>
    </xdr:from>
    <xdr:to>
      <xdr:col>1</xdr:col>
      <xdr:colOff>564986</xdr:colOff>
      <xdr:row>68</xdr:row>
      <xdr:rowOff>0</xdr:rowOff>
    </xdr:to>
    <xdr:pic>
      <xdr:nvPicPr>
        <xdr:cNvPr id="8" name="Picture 2">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r="78222"/>
        <a:stretch>
          <a:fillRect/>
        </a:stretch>
      </xdr:blipFill>
      <xdr:spPr bwMode="auto">
        <a:xfrm>
          <a:off x="152400" y="8260080"/>
          <a:ext cx="1022186" cy="449580"/>
        </a:xfrm>
        <a:prstGeom prst="rect">
          <a:avLst/>
        </a:prstGeom>
        <a:noFill/>
      </xdr:spPr>
    </xdr:pic>
    <xdr:clientData/>
  </xdr:twoCellAnchor>
  <xdr:twoCellAnchor>
    <xdr:from>
      <xdr:col>0</xdr:col>
      <xdr:colOff>198120</xdr:colOff>
      <xdr:row>61</xdr:row>
      <xdr:rowOff>137160</xdr:rowOff>
    </xdr:from>
    <xdr:to>
      <xdr:col>2</xdr:col>
      <xdr:colOff>129540</xdr:colOff>
      <xdr:row>64</xdr:row>
      <xdr:rowOff>53340</xdr:rowOff>
    </xdr:to>
    <xdr:pic>
      <xdr:nvPicPr>
        <xdr:cNvPr id="2051" name="Picture 3">
          <a:extLst>
            <a:ext uri="{FF2B5EF4-FFF2-40B4-BE49-F238E27FC236}">
              <a16:creationId xmlns:a16="http://schemas.microsoft.com/office/drawing/2014/main" id="{00000000-0008-0000-0700-000003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198120" y="11018520"/>
          <a:ext cx="1333500" cy="449580"/>
        </a:xfrm>
        <a:prstGeom prst="rect">
          <a:avLst/>
        </a:prstGeom>
        <a:noFill/>
      </xdr:spPr>
    </xdr:pic>
    <xdr:clientData/>
  </xdr:twoCellAnchor>
  <xdr:twoCellAnchor>
    <xdr:from>
      <xdr:col>0</xdr:col>
      <xdr:colOff>152400</xdr:colOff>
      <xdr:row>105</xdr:row>
      <xdr:rowOff>76200</xdr:rowOff>
    </xdr:from>
    <xdr:to>
      <xdr:col>1</xdr:col>
      <xdr:colOff>564986</xdr:colOff>
      <xdr:row>108</xdr:row>
      <xdr:rowOff>0</xdr:rowOff>
    </xdr:to>
    <xdr:pic>
      <xdr:nvPicPr>
        <xdr:cNvPr id="10" name="Picture 2">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r="78222"/>
        <a:stretch>
          <a:fillRect/>
        </a:stretch>
      </xdr:blipFill>
      <xdr:spPr bwMode="auto">
        <a:xfrm>
          <a:off x="152400" y="11666220"/>
          <a:ext cx="1022186" cy="449580"/>
        </a:xfrm>
        <a:prstGeom prst="rect">
          <a:avLst/>
        </a:prstGeom>
        <a:noFill/>
      </xdr:spPr>
    </xdr:pic>
    <xdr:clientData/>
  </xdr:twoCellAnchor>
  <xdr:twoCellAnchor>
    <xdr:from>
      <xdr:col>0</xdr:col>
      <xdr:colOff>0</xdr:colOff>
      <xdr:row>102</xdr:row>
      <xdr:rowOff>0</xdr:rowOff>
    </xdr:from>
    <xdr:to>
      <xdr:col>7</xdr:col>
      <xdr:colOff>60960</xdr:colOff>
      <xdr:row>104</xdr:row>
      <xdr:rowOff>91440</xdr:rowOff>
    </xdr:to>
    <xdr:pic>
      <xdr:nvPicPr>
        <xdr:cNvPr id="12" name="Picture 2">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0" y="18143220"/>
          <a:ext cx="5219700" cy="449580"/>
        </a:xfrm>
        <a:prstGeom prst="rect">
          <a:avLst/>
        </a:prstGeom>
        <a:noFill/>
      </xdr:spPr>
    </xdr:pic>
    <xdr:clientData/>
  </xdr:twoCellAnchor>
  <xdr:twoCellAnchor>
    <xdr:from>
      <xdr:col>0</xdr:col>
      <xdr:colOff>121920</xdr:colOff>
      <xdr:row>139</xdr:row>
      <xdr:rowOff>167640</xdr:rowOff>
    </xdr:from>
    <xdr:to>
      <xdr:col>1</xdr:col>
      <xdr:colOff>670560</xdr:colOff>
      <xdr:row>141</xdr:row>
      <xdr:rowOff>68580</xdr:rowOff>
    </xdr:to>
    <xdr:pic>
      <xdr:nvPicPr>
        <xdr:cNvPr id="2053" name="Picture 5">
          <a:extLst>
            <a:ext uri="{FF2B5EF4-FFF2-40B4-BE49-F238E27FC236}">
              <a16:creationId xmlns:a16="http://schemas.microsoft.com/office/drawing/2014/main" id="{00000000-0008-0000-0700-000005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121920" y="24909780"/>
          <a:ext cx="1325880" cy="274320"/>
        </a:xfrm>
        <a:prstGeom prst="rect">
          <a:avLst/>
        </a:prstGeom>
        <a:noFill/>
      </xdr:spPr>
    </xdr:pic>
    <xdr:clientData/>
  </xdr:twoCellAnchor>
  <xdr:twoCellAnchor>
    <xdr:from>
      <xdr:col>0</xdr:col>
      <xdr:colOff>0</xdr:colOff>
      <xdr:row>143</xdr:row>
      <xdr:rowOff>144780</xdr:rowOff>
    </xdr:from>
    <xdr:to>
      <xdr:col>2</xdr:col>
      <xdr:colOff>640080</xdr:colOff>
      <xdr:row>145</xdr:row>
      <xdr:rowOff>114300</xdr:rowOff>
    </xdr:to>
    <xdr:pic>
      <xdr:nvPicPr>
        <xdr:cNvPr id="2052" name="Picture 4">
          <a:extLst>
            <a:ext uri="{FF2B5EF4-FFF2-40B4-BE49-F238E27FC236}">
              <a16:creationId xmlns:a16="http://schemas.microsoft.com/office/drawing/2014/main" id="{00000000-0008-0000-0700-00000408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0" y="25656540"/>
          <a:ext cx="2209800" cy="365760"/>
        </a:xfrm>
        <a:prstGeom prst="rect">
          <a:avLst/>
        </a:prstGeom>
        <a:noFill/>
      </xdr:spPr>
    </xdr:pic>
    <xdr:clientData/>
  </xdr:twoCellAnchor>
  <xdr:twoCellAnchor>
    <xdr:from>
      <xdr:col>1</xdr:col>
      <xdr:colOff>22860</xdr:colOff>
      <xdr:row>141</xdr:row>
      <xdr:rowOff>144780</xdr:rowOff>
    </xdr:from>
    <xdr:to>
      <xdr:col>2</xdr:col>
      <xdr:colOff>0</xdr:colOff>
      <xdr:row>143</xdr:row>
      <xdr:rowOff>137160</xdr:rowOff>
    </xdr:to>
    <xdr:pic>
      <xdr:nvPicPr>
        <xdr:cNvPr id="2" name="Picture 3">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800100" y="25260300"/>
          <a:ext cx="769620" cy="388620"/>
        </a:xfrm>
        <a:prstGeom prst="rect">
          <a:avLst/>
        </a:prstGeom>
        <a:noFill/>
      </xdr:spPr>
    </xdr:pic>
    <xdr:clientData/>
  </xdr:twoCellAnchor>
  <xdr:twoCellAnchor>
    <xdr:from>
      <xdr:col>0</xdr:col>
      <xdr:colOff>137160</xdr:colOff>
      <xdr:row>149</xdr:row>
      <xdr:rowOff>106680</xdr:rowOff>
    </xdr:from>
    <xdr:to>
      <xdr:col>2</xdr:col>
      <xdr:colOff>693420</xdr:colOff>
      <xdr:row>151</xdr:row>
      <xdr:rowOff>152400</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7160" y="26715720"/>
          <a:ext cx="2125980" cy="396240"/>
        </a:xfrm>
        <a:prstGeom prst="rect">
          <a:avLst/>
        </a:prstGeom>
        <a:noFill/>
      </xdr:spPr>
    </xdr:pic>
    <xdr:clientData/>
  </xdr:twoCellAnchor>
  <xdr:twoCellAnchor>
    <xdr:from>
      <xdr:col>0</xdr:col>
      <xdr:colOff>228600</xdr:colOff>
      <xdr:row>197</xdr:row>
      <xdr:rowOff>137160</xdr:rowOff>
    </xdr:from>
    <xdr:to>
      <xdr:col>2</xdr:col>
      <xdr:colOff>670560</xdr:colOff>
      <xdr:row>200</xdr:row>
      <xdr:rowOff>7620</xdr:rowOff>
    </xdr:to>
    <xdr:pic>
      <xdr:nvPicPr>
        <xdr:cNvPr id="2054" name="Picture 6">
          <a:extLst>
            <a:ext uri="{FF2B5EF4-FFF2-40B4-BE49-F238E27FC236}">
              <a16:creationId xmlns:a16="http://schemas.microsoft.com/office/drawing/2014/main" id="{00000000-0008-0000-0700-00000608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28600" y="35486340"/>
          <a:ext cx="2011680" cy="396240"/>
        </a:xfrm>
        <a:prstGeom prst="rect">
          <a:avLst/>
        </a:prstGeom>
        <a:noFill/>
      </xdr:spPr>
    </xdr:pic>
    <xdr:clientData/>
  </xdr:twoCellAnchor>
  <xdr:twoCellAnchor>
    <xdr:from>
      <xdr:col>0</xdr:col>
      <xdr:colOff>91440</xdr:colOff>
      <xdr:row>188</xdr:row>
      <xdr:rowOff>121920</xdr:rowOff>
    </xdr:from>
    <xdr:to>
      <xdr:col>1</xdr:col>
      <xdr:colOff>640080</xdr:colOff>
      <xdr:row>190</xdr:row>
      <xdr:rowOff>45720</xdr:rowOff>
    </xdr:to>
    <xdr:pic>
      <xdr:nvPicPr>
        <xdr:cNvPr id="14" name="Picture 5">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91440" y="33809940"/>
          <a:ext cx="1325880" cy="274320"/>
        </a:xfrm>
        <a:prstGeom prst="rect">
          <a:avLst/>
        </a:prstGeom>
        <a:noFill/>
      </xdr:spPr>
    </xdr:pic>
    <xdr:clientData/>
  </xdr:twoCellAnchor>
  <xdr:twoCellAnchor>
    <xdr:from>
      <xdr:col>0</xdr:col>
      <xdr:colOff>22860</xdr:colOff>
      <xdr:row>191</xdr:row>
      <xdr:rowOff>91440</xdr:rowOff>
    </xdr:from>
    <xdr:to>
      <xdr:col>2</xdr:col>
      <xdr:colOff>655320</xdr:colOff>
      <xdr:row>193</xdr:row>
      <xdr:rowOff>106680</xdr:rowOff>
    </xdr:to>
    <xdr:pic>
      <xdr:nvPicPr>
        <xdr:cNvPr id="15" name="Picture 4">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2860" y="34312860"/>
          <a:ext cx="2202180" cy="365760"/>
        </a:xfrm>
        <a:prstGeom prst="rect">
          <a:avLst/>
        </a:prstGeom>
        <a:noFill/>
      </xdr:spPr>
    </xdr:pic>
    <xdr:clientData/>
  </xdr:twoCellAnchor>
  <xdr:twoCellAnchor>
    <xdr:from>
      <xdr:col>0</xdr:col>
      <xdr:colOff>228600</xdr:colOff>
      <xdr:row>244</xdr:row>
      <xdr:rowOff>137160</xdr:rowOff>
    </xdr:from>
    <xdr:to>
      <xdr:col>2</xdr:col>
      <xdr:colOff>670560</xdr:colOff>
      <xdr:row>247</xdr:row>
      <xdr:rowOff>7620</xdr:rowOff>
    </xdr:to>
    <xdr:pic>
      <xdr:nvPicPr>
        <xdr:cNvPr id="16" name="Picture 6">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28600" y="35486340"/>
          <a:ext cx="2011680" cy="396240"/>
        </a:xfrm>
        <a:prstGeom prst="rect">
          <a:avLst/>
        </a:prstGeom>
        <a:noFill/>
      </xdr:spPr>
    </xdr:pic>
    <xdr:clientData/>
  </xdr:twoCellAnchor>
  <xdr:twoCellAnchor>
    <xdr:from>
      <xdr:col>0</xdr:col>
      <xdr:colOff>91440</xdr:colOff>
      <xdr:row>235</xdr:row>
      <xdr:rowOff>121920</xdr:rowOff>
    </xdr:from>
    <xdr:to>
      <xdr:col>1</xdr:col>
      <xdr:colOff>640080</xdr:colOff>
      <xdr:row>237</xdr:row>
      <xdr:rowOff>45720</xdr:rowOff>
    </xdr:to>
    <xdr:pic>
      <xdr:nvPicPr>
        <xdr:cNvPr id="17" name="Picture 5">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91440" y="33809940"/>
          <a:ext cx="1325880" cy="274320"/>
        </a:xfrm>
        <a:prstGeom prst="rect">
          <a:avLst/>
        </a:prstGeom>
        <a:noFill/>
      </xdr:spPr>
    </xdr:pic>
    <xdr:clientData/>
  </xdr:twoCellAnchor>
  <xdr:twoCellAnchor>
    <xdr:from>
      <xdr:col>0</xdr:col>
      <xdr:colOff>22860</xdr:colOff>
      <xdr:row>238</xdr:row>
      <xdr:rowOff>91440</xdr:rowOff>
    </xdr:from>
    <xdr:to>
      <xdr:col>2</xdr:col>
      <xdr:colOff>655320</xdr:colOff>
      <xdr:row>240</xdr:row>
      <xdr:rowOff>106680</xdr:rowOff>
    </xdr:to>
    <xdr:pic>
      <xdr:nvPicPr>
        <xdr:cNvPr id="18" name="Picture 4">
          <a:extLst>
            <a:ext uri="{FF2B5EF4-FFF2-40B4-BE49-F238E27FC236}">
              <a16:creationId xmlns:a16="http://schemas.microsoft.com/office/drawing/2014/main" id="{00000000-0008-0000-0700-000012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2860" y="34312860"/>
          <a:ext cx="2202180" cy="365760"/>
        </a:xfrm>
        <a:prstGeom prst="rect">
          <a:avLst/>
        </a:prstGeom>
        <a:noFill/>
      </xdr:spPr>
    </xdr:pic>
    <xdr:clientData/>
  </xdr:twoCellAnchor>
  <xdr:twoCellAnchor>
    <xdr:from>
      <xdr:col>0</xdr:col>
      <xdr:colOff>91440</xdr:colOff>
      <xdr:row>293</xdr:row>
      <xdr:rowOff>121920</xdr:rowOff>
    </xdr:from>
    <xdr:to>
      <xdr:col>1</xdr:col>
      <xdr:colOff>640080</xdr:colOff>
      <xdr:row>295</xdr:row>
      <xdr:rowOff>45720</xdr:rowOff>
    </xdr:to>
    <xdr:pic>
      <xdr:nvPicPr>
        <xdr:cNvPr id="20" name="Picture 5">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91440" y="42199560"/>
          <a:ext cx="1325880" cy="274320"/>
        </a:xfrm>
        <a:prstGeom prst="rect">
          <a:avLst/>
        </a:prstGeom>
        <a:noFill/>
      </xdr:spPr>
    </xdr:pic>
    <xdr:clientData/>
  </xdr:twoCellAnchor>
  <xdr:twoCellAnchor>
    <xdr:from>
      <xdr:col>0</xdr:col>
      <xdr:colOff>22860</xdr:colOff>
      <xdr:row>296</xdr:row>
      <xdr:rowOff>91440</xdr:rowOff>
    </xdr:from>
    <xdr:to>
      <xdr:col>2</xdr:col>
      <xdr:colOff>655320</xdr:colOff>
      <xdr:row>298</xdr:row>
      <xdr:rowOff>106680</xdr:rowOff>
    </xdr:to>
    <xdr:pic>
      <xdr:nvPicPr>
        <xdr:cNvPr id="21" name="Picture 4">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2860" y="42702480"/>
          <a:ext cx="2202180" cy="365760"/>
        </a:xfrm>
        <a:prstGeom prst="rect">
          <a:avLst/>
        </a:prstGeom>
        <a:noFill/>
      </xdr:spPr>
    </xdr:pic>
    <xdr:clientData/>
  </xdr:twoCellAnchor>
  <xdr:twoCellAnchor>
    <xdr:from>
      <xdr:col>0</xdr:col>
      <xdr:colOff>0</xdr:colOff>
      <xdr:row>303</xdr:row>
      <xdr:rowOff>0</xdr:rowOff>
    </xdr:from>
    <xdr:to>
      <xdr:col>2</xdr:col>
      <xdr:colOff>586740</xdr:colOff>
      <xdr:row>305</xdr:row>
      <xdr:rowOff>38100</xdr:rowOff>
    </xdr:to>
    <xdr:pic>
      <xdr:nvPicPr>
        <xdr:cNvPr id="2055" name="Picture 7">
          <a:extLst>
            <a:ext uri="{FF2B5EF4-FFF2-40B4-BE49-F238E27FC236}">
              <a16:creationId xmlns:a16="http://schemas.microsoft.com/office/drawing/2014/main" id="{00000000-0008-0000-0700-000007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0" y="54262020"/>
          <a:ext cx="2156460" cy="39624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228600</xdr:colOff>
      <xdr:row>1</xdr:row>
      <xdr:rowOff>22860</xdr:rowOff>
    </xdr:from>
    <xdr:to>
      <xdr:col>3</xdr:col>
      <xdr:colOff>624840</xdr:colOff>
      <xdr:row>2</xdr:row>
      <xdr:rowOff>30480</xdr:rowOff>
    </xdr:to>
    <xdr:pic>
      <xdr:nvPicPr>
        <xdr:cNvPr id="2050" name="Picture 2">
          <a:extLst>
            <a:ext uri="{FF2B5EF4-FFF2-40B4-BE49-F238E27FC236}">
              <a16:creationId xmlns:a16="http://schemas.microsoft.com/office/drawing/2014/main" id="{00000000-0008-0000-0900-00000208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2057400" y="251460"/>
          <a:ext cx="396240" cy="205740"/>
        </a:xfrm>
        <a:prstGeom prst="rect">
          <a:avLst/>
        </a:prstGeom>
        <a:noFill/>
      </xdr:spPr>
    </xdr:pic>
    <xdr:clientData/>
  </xdr:twoCellAnchor>
  <xdr:twoCellAnchor>
    <xdr:from>
      <xdr:col>5</xdr:col>
      <xdr:colOff>243840</xdr:colOff>
      <xdr:row>1</xdr:row>
      <xdr:rowOff>0</xdr:rowOff>
    </xdr:from>
    <xdr:to>
      <xdr:col>5</xdr:col>
      <xdr:colOff>640080</xdr:colOff>
      <xdr:row>2</xdr:row>
      <xdr:rowOff>7620</xdr:rowOff>
    </xdr:to>
    <xdr:pic>
      <xdr:nvPicPr>
        <xdr:cNvPr id="2051" name="Picture 3">
          <a:extLst>
            <a:ext uri="{FF2B5EF4-FFF2-40B4-BE49-F238E27FC236}">
              <a16:creationId xmlns:a16="http://schemas.microsoft.com/office/drawing/2014/main" id="{00000000-0008-0000-0900-00000308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2933700" y="228600"/>
          <a:ext cx="396240" cy="205740"/>
        </a:xfrm>
        <a:prstGeom prst="rect">
          <a:avLst/>
        </a:prstGeom>
        <a:noFill/>
      </xdr:spPr>
    </xdr:pic>
    <xdr:clientData/>
  </xdr:twoCellAnchor>
  <xdr:twoCellAnchor>
    <xdr:from>
      <xdr:col>7</xdr:col>
      <xdr:colOff>15240</xdr:colOff>
      <xdr:row>1</xdr:row>
      <xdr:rowOff>22860</xdr:rowOff>
    </xdr:from>
    <xdr:to>
      <xdr:col>7</xdr:col>
      <xdr:colOff>1059180</xdr:colOff>
      <xdr:row>2</xdr:row>
      <xdr:rowOff>30480</xdr:rowOff>
    </xdr:to>
    <xdr:pic>
      <xdr:nvPicPr>
        <xdr:cNvPr id="2052" name="Picture 4">
          <a:extLst>
            <a:ext uri="{FF2B5EF4-FFF2-40B4-BE49-F238E27FC236}">
              <a16:creationId xmlns:a16="http://schemas.microsoft.com/office/drawing/2014/main" id="{00000000-0008-0000-0900-00000408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3649980" y="251460"/>
          <a:ext cx="1043940" cy="205740"/>
        </a:xfrm>
        <a:prstGeom prst="rect">
          <a:avLst/>
        </a:prstGeom>
        <a:noFill/>
      </xdr:spPr>
    </xdr:pic>
    <xdr:clientData/>
  </xdr:twoCellAnchor>
  <xdr:twoCellAnchor>
    <xdr:from>
      <xdr:col>3</xdr:col>
      <xdr:colOff>815340</xdr:colOff>
      <xdr:row>0</xdr:row>
      <xdr:rowOff>220980</xdr:rowOff>
    </xdr:from>
    <xdr:to>
      <xdr:col>4</xdr:col>
      <xdr:colOff>541020</xdr:colOff>
      <xdr:row>2</xdr:row>
      <xdr:rowOff>0</xdr:rowOff>
    </xdr:to>
    <xdr:pic>
      <xdr:nvPicPr>
        <xdr:cNvPr id="2053" name="Picture 5">
          <a:extLst>
            <a:ext uri="{FF2B5EF4-FFF2-40B4-BE49-F238E27FC236}">
              <a16:creationId xmlns:a16="http://schemas.microsoft.com/office/drawing/2014/main" id="{00000000-0008-0000-0900-00000508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644140" y="220980"/>
          <a:ext cx="586740" cy="205740"/>
        </a:xfrm>
        <a:prstGeom prst="rect">
          <a:avLst/>
        </a:prstGeom>
        <a:noFill/>
      </xdr:spPr>
    </xdr:pic>
    <xdr:clientData/>
  </xdr:twoCellAnchor>
  <xdr:twoCellAnchor>
    <xdr:from>
      <xdr:col>6</xdr:col>
      <xdr:colOff>0</xdr:colOff>
      <xdr:row>1</xdr:row>
      <xdr:rowOff>15240</xdr:rowOff>
    </xdr:from>
    <xdr:to>
      <xdr:col>6</xdr:col>
      <xdr:colOff>594360</xdr:colOff>
      <xdr:row>2</xdr:row>
      <xdr:rowOff>22860</xdr:rowOff>
    </xdr:to>
    <xdr:pic>
      <xdr:nvPicPr>
        <xdr:cNvPr id="2054" name="Picture 6">
          <a:extLst>
            <a:ext uri="{FF2B5EF4-FFF2-40B4-BE49-F238E27FC236}">
              <a16:creationId xmlns:a16="http://schemas.microsoft.com/office/drawing/2014/main" id="{00000000-0008-0000-0900-00000608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4267200" y="243840"/>
          <a:ext cx="594360" cy="205740"/>
        </a:xfrm>
        <a:prstGeom prst="rect">
          <a:avLst/>
        </a:prstGeom>
        <a:noFill/>
      </xdr:spPr>
    </xdr:pic>
    <xdr:clientData/>
  </xdr:twoCellAnchor>
  <xdr:twoCellAnchor>
    <xdr:from>
      <xdr:col>5</xdr:col>
      <xdr:colOff>243840</xdr:colOff>
      <xdr:row>19</xdr:row>
      <xdr:rowOff>7620</xdr:rowOff>
    </xdr:from>
    <xdr:to>
      <xdr:col>5</xdr:col>
      <xdr:colOff>640080</xdr:colOff>
      <xdr:row>20</xdr:row>
      <xdr:rowOff>15240</xdr:rowOff>
    </xdr:to>
    <xdr:pic>
      <xdr:nvPicPr>
        <xdr:cNvPr id="64" name="Picture 2">
          <a:extLst>
            <a:ext uri="{FF2B5EF4-FFF2-40B4-BE49-F238E27FC236}">
              <a16:creationId xmlns:a16="http://schemas.microsoft.com/office/drawing/2014/main" id="{00000000-0008-0000-0900-000040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259580" y="3802380"/>
          <a:ext cx="396240" cy="205740"/>
        </a:xfrm>
        <a:prstGeom prst="rect">
          <a:avLst/>
        </a:prstGeom>
        <a:noFill/>
      </xdr:spPr>
    </xdr:pic>
    <xdr:clientData/>
  </xdr:twoCellAnchor>
  <xdr:twoCellAnchor>
    <xdr:from>
      <xdr:col>6</xdr:col>
      <xdr:colOff>99060</xdr:colOff>
      <xdr:row>19</xdr:row>
      <xdr:rowOff>15240</xdr:rowOff>
    </xdr:from>
    <xdr:to>
      <xdr:col>6</xdr:col>
      <xdr:colOff>495300</xdr:colOff>
      <xdr:row>20</xdr:row>
      <xdr:rowOff>22860</xdr:rowOff>
    </xdr:to>
    <xdr:pic>
      <xdr:nvPicPr>
        <xdr:cNvPr id="65" name="Picture 3">
          <a:extLst>
            <a:ext uri="{FF2B5EF4-FFF2-40B4-BE49-F238E27FC236}">
              <a16:creationId xmlns:a16="http://schemas.microsoft.com/office/drawing/2014/main" id="{00000000-0008-0000-0900-000041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059680" y="3810000"/>
          <a:ext cx="396240" cy="205740"/>
        </a:xfrm>
        <a:prstGeom prst="rect">
          <a:avLst/>
        </a:prstGeom>
        <a:noFill/>
      </xdr:spPr>
    </xdr:pic>
    <xdr:clientData/>
  </xdr:twoCellAnchor>
  <xdr:twoCellAnchor>
    <xdr:from>
      <xdr:col>7</xdr:col>
      <xdr:colOff>30480</xdr:colOff>
      <xdr:row>19</xdr:row>
      <xdr:rowOff>30480</xdr:rowOff>
    </xdr:from>
    <xdr:to>
      <xdr:col>7</xdr:col>
      <xdr:colOff>1074420</xdr:colOff>
      <xdr:row>20</xdr:row>
      <xdr:rowOff>38100</xdr:rowOff>
    </xdr:to>
    <xdr:pic>
      <xdr:nvPicPr>
        <xdr:cNvPr id="66" name="Picture 4">
          <a:extLst>
            <a:ext uri="{FF2B5EF4-FFF2-40B4-BE49-F238E27FC236}">
              <a16:creationId xmlns:a16="http://schemas.microsoft.com/office/drawing/2014/main" id="{00000000-0008-0000-0900-000042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5638800" y="3825240"/>
          <a:ext cx="1043940" cy="205740"/>
        </a:xfrm>
        <a:prstGeom prst="rect">
          <a:avLst/>
        </a:prstGeom>
        <a:noFill/>
      </xdr:spPr>
    </xdr:pic>
    <xdr:clientData/>
  </xdr:twoCellAnchor>
  <xdr:twoCellAnchor>
    <xdr:from>
      <xdr:col>1</xdr:col>
      <xdr:colOff>327660</xdr:colOff>
      <xdr:row>40</xdr:row>
      <xdr:rowOff>7620</xdr:rowOff>
    </xdr:from>
    <xdr:to>
      <xdr:col>1</xdr:col>
      <xdr:colOff>457200</xdr:colOff>
      <xdr:row>41</xdr:row>
      <xdr:rowOff>15240</xdr:rowOff>
    </xdr:to>
    <xdr:pic>
      <xdr:nvPicPr>
        <xdr:cNvPr id="2055" name="Picture 7">
          <a:extLst>
            <a:ext uri="{FF2B5EF4-FFF2-40B4-BE49-F238E27FC236}">
              <a16:creationId xmlns:a16="http://schemas.microsoft.com/office/drawing/2014/main" id="{00000000-0008-0000-0900-00000708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4920" y="8260080"/>
          <a:ext cx="129540" cy="205740"/>
        </a:xfrm>
        <a:prstGeom prst="rect">
          <a:avLst/>
        </a:prstGeom>
        <a:noFill/>
      </xdr:spPr>
    </xdr:pic>
    <xdr:clientData/>
  </xdr:twoCellAnchor>
  <xdr:twoCellAnchor>
    <xdr:from>
      <xdr:col>3</xdr:col>
      <xdr:colOff>350520</xdr:colOff>
      <xdr:row>40</xdr:row>
      <xdr:rowOff>7620</xdr:rowOff>
    </xdr:from>
    <xdr:to>
      <xdr:col>3</xdr:col>
      <xdr:colOff>480060</xdr:colOff>
      <xdr:row>41</xdr:row>
      <xdr:rowOff>15240</xdr:rowOff>
    </xdr:to>
    <xdr:pic>
      <xdr:nvPicPr>
        <xdr:cNvPr id="2056" name="Picture 8">
          <a:extLst>
            <a:ext uri="{FF2B5EF4-FFF2-40B4-BE49-F238E27FC236}">
              <a16:creationId xmlns:a16="http://schemas.microsoft.com/office/drawing/2014/main" id="{00000000-0008-0000-0900-00000808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2080260" y="8260080"/>
          <a:ext cx="129540" cy="205740"/>
        </a:xfrm>
        <a:prstGeom prst="rect">
          <a:avLst/>
        </a:prstGeom>
        <a:noFill/>
      </xdr:spPr>
    </xdr:pic>
    <xdr:clientData/>
  </xdr:twoCellAnchor>
  <xdr:twoCellAnchor>
    <xdr:from>
      <xdr:col>5</xdr:col>
      <xdr:colOff>205740</xdr:colOff>
      <xdr:row>40</xdr:row>
      <xdr:rowOff>22860</xdr:rowOff>
    </xdr:from>
    <xdr:to>
      <xdr:col>5</xdr:col>
      <xdr:colOff>601980</xdr:colOff>
      <xdr:row>41</xdr:row>
      <xdr:rowOff>30480</xdr:rowOff>
    </xdr:to>
    <xdr:pic>
      <xdr:nvPicPr>
        <xdr:cNvPr id="71" name="Picture 2">
          <a:extLst>
            <a:ext uri="{FF2B5EF4-FFF2-40B4-BE49-F238E27FC236}">
              <a16:creationId xmlns:a16="http://schemas.microsoft.com/office/drawing/2014/main" id="{00000000-0008-0000-0900-000047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373880" y="8275320"/>
          <a:ext cx="396240" cy="205740"/>
        </a:xfrm>
        <a:prstGeom prst="rect">
          <a:avLst/>
        </a:prstGeom>
        <a:noFill/>
      </xdr:spPr>
    </xdr:pic>
    <xdr:clientData/>
  </xdr:twoCellAnchor>
  <xdr:twoCellAnchor>
    <xdr:from>
      <xdr:col>6</xdr:col>
      <xdr:colOff>129540</xdr:colOff>
      <xdr:row>40</xdr:row>
      <xdr:rowOff>7620</xdr:rowOff>
    </xdr:from>
    <xdr:to>
      <xdr:col>6</xdr:col>
      <xdr:colOff>525780</xdr:colOff>
      <xdr:row>41</xdr:row>
      <xdr:rowOff>15240</xdr:rowOff>
    </xdr:to>
    <xdr:pic>
      <xdr:nvPicPr>
        <xdr:cNvPr id="72" name="Picture 3">
          <a:extLst>
            <a:ext uri="{FF2B5EF4-FFF2-40B4-BE49-F238E27FC236}">
              <a16:creationId xmlns:a16="http://schemas.microsoft.com/office/drawing/2014/main" id="{00000000-0008-0000-0900-00004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242560" y="8260080"/>
          <a:ext cx="396240" cy="205740"/>
        </a:xfrm>
        <a:prstGeom prst="rect">
          <a:avLst/>
        </a:prstGeom>
        <a:noFill/>
      </xdr:spPr>
    </xdr:pic>
    <xdr:clientData/>
  </xdr:twoCellAnchor>
  <xdr:twoCellAnchor>
    <xdr:from>
      <xdr:col>6</xdr:col>
      <xdr:colOff>632460</xdr:colOff>
      <xdr:row>40</xdr:row>
      <xdr:rowOff>22860</xdr:rowOff>
    </xdr:from>
    <xdr:to>
      <xdr:col>7</xdr:col>
      <xdr:colOff>1028700</xdr:colOff>
      <xdr:row>41</xdr:row>
      <xdr:rowOff>30480</xdr:rowOff>
    </xdr:to>
    <xdr:pic>
      <xdr:nvPicPr>
        <xdr:cNvPr id="73" name="Picture 4">
          <a:extLst>
            <a:ext uri="{FF2B5EF4-FFF2-40B4-BE49-F238E27FC236}">
              <a16:creationId xmlns:a16="http://schemas.microsoft.com/office/drawing/2014/main" id="{00000000-0008-0000-0900-000049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5745480" y="8275320"/>
          <a:ext cx="1043940" cy="205740"/>
        </a:xfrm>
        <a:prstGeom prst="rect">
          <a:avLst/>
        </a:prstGeom>
        <a:noFill/>
      </xdr:spPr>
    </xdr:pic>
    <xdr:clientData/>
  </xdr:twoCellAnchor>
  <xdr:twoCellAnchor>
    <xdr:from>
      <xdr:col>3</xdr:col>
      <xdr:colOff>853440</xdr:colOff>
      <xdr:row>40</xdr:row>
      <xdr:rowOff>22860</xdr:rowOff>
    </xdr:from>
    <xdr:to>
      <xdr:col>4</xdr:col>
      <xdr:colOff>586740</xdr:colOff>
      <xdr:row>41</xdr:row>
      <xdr:rowOff>30480</xdr:rowOff>
    </xdr:to>
    <xdr:pic>
      <xdr:nvPicPr>
        <xdr:cNvPr id="75" name="Picture 6">
          <a:extLst>
            <a:ext uri="{FF2B5EF4-FFF2-40B4-BE49-F238E27FC236}">
              <a16:creationId xmlns:a16="http://schemas.microsoft.com/office/drawing/2014/main" id="{00000000-0008-0000-0900-00004B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528060" y="8275320"/>
          <a:ext cx="594360" cy="205740"/>
        </a:xfrm>
        <a:prstGeom prst="rect">
          <a:avLst/>
        </a:prstGeom>
        <a:noFill/>
      </xdr:spPr>
    </xdr:pic>
    <xdr:clientData/>
  </xdr:twoCellAnchor>
  <xdr:twoCellAnchor>
    <xdr:from>
      <xdr:col>2</xdr:col>
      <xdr:colOff>502920</xdr:colOff>
      <xdr:row>14</xdr:row>
      <xdr:rowOff>76200</xdr:rowOff>
    </xdr:from>
    <xdr:to>
      <xdr:col>4</xdr:col>
      <xdr:colOff>457200</xdr:colOff>
      <xdr:row>16</xdr:row>
      <xdr:rowOff>137160</xdr:rowOff>
    </xdr:to>
    <xdr:pic>
      <xdr:nvPicPr>
        <xdr:cNvPr id="2058" name="Picture 10">
          <a:extLst>
            <a:ext uri="{FF2B5EF4-FFF2-40B4-BE49-F238E27FC236}">
              <a16:creationId xmlns:a16="http://schemas.microsoft.com/office/drawing/2014/main" id="{00000000-0008-0000-0900-00000A080000}"/>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blip>
        <a:srcRect/>
        <a:stretch>
          <a:fillRect/>
        </a:stretch>
      </xdr:blipFill>
      <xdr:spPr bwMode="auto">
        <a:xfrm>
          <a:off x="2308860" y="2880360"/>
          <a:ext cx="1684020" cy="457200"/>
        </a:xfrm>
        <a:prstGeom prst="rect">
          <a:avLst/>
        </a:prstGeom>
        <a:noFill/>
      </xdr:spPr>
    </xdr:pic>
    <xdr:clientData/>
  </xdr:twoCellAnchor>
  <xdr:twoCellAnchor>
    <xdr:from>
      <xdr:col>2</xdr:col>
      <xdr:colOff>723900</xdr:colOff>
      <xdr:row>35</xdr:row>
      <xdr:rowOff>7620</xdr:rowOff>
    </xdr:from>
    <xdr:to>
      <xdr:col>4</xdr:col>
      <xdr:colOff>601980</xdr:colOff>
      <xdr:row>37</xdr:row>
      <xdr:rowOff>152400</xdr:rowOff>
    </xdr:to>
    <xdr:pic>
      <xdr:nvPicPr>
        <xdr:cNvPr id="2059" name="Picture 11">
          <a:extLst>
            <a:ext uri="{FF2B5EF4-FFF2-40B4-BE49-F238E27FC236}">
              <a16:creationId xmlns:a16="http://schemas.microsoft.com/office/drawing/2014/main" id="{00000000-0008-0000-0900-00000B08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2529840" y="7231380"/>
          <a:ext cx="1607820" cy="541020"/>
        </a:xfrm>
        <a:prstGeom prst="rect">
          <a:avLst/>
        </a:prstGeom>
        <a:noFill/>
      </xdr:spPr>
    </xdr:pic>
    <xdr:clientData/>
  </xdr:twoCellAnchor>
  <xdr:twoCellAnchor>
    <xdr:from>
      <xdr:col>1</xdr:col>
      <xdr:colOff>129540</xdr:colOff>
      <xdr:row>58</xdr:row>
      <xdr:rowOff>182880</xdr:rowOff>
    </xdr:from>
    <xdr:to>
      <xdr:col>3</xdr:col>
      <xdr:colOff>0</xdr:colOff>
      <xdr:row>61</xdr:row>
      <xdr:rowOff>129540</xdr:rowOff>
    </xdr:to>
    <xdr:pic>
      <xdr:nvPicPr>
        <xdr:cNvPr id="78" name="Picture 11">
          <a:extLst>
            <a:ext uri="{FF2B5EF4-FFF2-40B4-BE49-F238E27FC236}">
              <a16:creationId xmlns:a16="http://schemas.microsoft.com/office/drawing/2014/main" id="{00000000-0008-0000-0900-00004E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1066800" y="12199620"/>
          <a:ext cx="1607820" cy="541020"/>
        </a:xfrm>
        <a:prstGeom prst="rect">
          <a:avLst/>
        </a:prstGeom>
        <a:noFill/>
      </xdr:spPr>
    </xdr:pic>
    <xdr:clientData/>
  </xdr:twoCellAnchor>
  <xdr:twoCellAnchor>
    <xdr:from>
      <xdr:col>2</xdr:col>
      <xdr:colOff>198120</xdr:colOff>
      <xdr:row>40</xdr:row>
      <xdr:rowOff>15240</xdr:rowOff>
    </xdr:from>
    <xdr:to>
      <xdr:col>2</xdr:col>
      <xdr:colOff>784860</xdr:colOff>
      <xdr:row>41</xdr:row>
      <xdr:rowOff>22860</xdr:rowOff>
    </xdr:to>
    <xdr:pic>
      <xdr:nvPicPr>
        <xdr:cNvPr id="79" name="Picture 5">
          <a:extLst>
            <a:ext uri="{FF2B5EF4-FFF2-40B4-BE49-F238E27FC236}">
              <a16:creationId xmlns:a16="http://schemas.microsoft.com/office/drawing/2014/main" id="{00000000-0008-0000-0900-00004F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04060" y="8267700"/>
          <a:ext cx="586740" cy="205740"/>
        </a:xfrm>
        <a:prstGeom prst="rect">
          <a:avLst/>
        </a:prstGeom>
        <a:noFill/>
      </xdr:spPr>
    </xdr:pic>
    <xdr:clientData/>
  </xdr:twoCellAnchor>
  <xdr:twoCellAnchor>
    <xdr:from>
      <xdr:col>0</xdr:col>
      <xdr:colOff>189773</xdr:colOff>
      <xdr:row>68</xdr:row>
      <xdr:rowOff>193911</xdr:rowOff>
    </xdr:from>
    <xdr:to>
      <xdr:col>0</xdr:col>
      <xdr:colOff>697399</xdr:colOff>
      <xdr:row>70</xdr:row>
      <xdr:rowOff>34173</xdr:rowOff>
    </xdr:to>
    <xdr:pic>
      <xdr:nvPicPr>
        <xdr:cNvPr id="83" name="Picture 13">
          <a:extLst>
            <a:ext uri="{FF2B5EF4-FFF2-40B4-BE49-F238E27FC236}">
              <a16:creationId xmlns:a16="http://schemas.microsoft.com/office/drawing/2014/main" id="{00000000-0008-0000-0900-000053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189773" y="14191851"/>
          <a:ext cx="507626" cy="236502"/>
        </a:xfrm>
        <a:prstGeom prst="rect">
          <a:avLst/>
        </a:prstGeom>
        <a:noFill/>
      </xdr:spPr>
    </xdr:pic>
    <xdr:clientData/>
  </xdr:twoCellAnchor>
  <xdr:twoCellAnchor>
    <xdr:from>
      <xdr:col>4</xdr:col>
      <xdr:colOff>106680</xdr:colOff>
      <xdr:row>66</xdr:row>
      <xdr:rowOff>190500</xdr:rowOff>
    </xdr:from>
    <xdr:to>
      <xdr:col>4</xdr:col>
      <xdr:colOff>614306</xdr:colOff>
      <xdr:row>68</xdr:row>
      <xdr:rowOff>61242</xdr:rowOff>
    </xdr:to>
    <xdr:pic>
      <xdr:nvPicPr>
        <xdr:cNvPr id="86" name="Picture 13">
          <a:extLst>
            <a:ext uri="{FF2B5EF4-FFF2-40B4-BE49-F238E27FC236}">
              <a16:creationId xmlns:a16="http://schemas.microsoft.com/office/drawing/2014/main" id="{00000000-0008-0000-0900-000056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3703320" y="13792200"/>
          <a:ext cx="507626" cy="266982"/>
        </a:xfrm>
        <a:prstGeom prst="rect">
          <a:avLst/>
        </a:prstGeom>
        <a:noFill/>
      </xdr:spPr>
    </xdr:pic>
    <xdr:clientData/>
  </xdr:twoCellAnchor>
  <xdr:twoCellAnchor>
    <xdr:from>
      <xdr:col>1</xdr:col>
      <xdr:colOff>327660</xdr:colOff>
      <xdr:row>75</xdr:row>
      <xdr:rowOff>7620</xdr:rowOff>
    </xdr:from>
    <xdr:to>
      <xdr:col>1</xdr:col>
      <xdr:colOff>457200</xdr:colOff>
      <xdr:row>76</xdr:row>
      <xdr:rowOff>15240</xdr:rowOff>
    </xdr:to>
    <xdr:pic>
      <xdr:nvPicPr>
        <xdr:cNvPr id="24" name="Picture 7">
          <a:extLst>
            <a:ext uri="{FF2B5EF4-FFF2-40B4-BE49-F238E27FC236}">
              <a16:creationId xmlns:a16="http://schemas.microsoft.com/office/drawing/2014/main" id="{00000000-0008-0000-0900-000018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4920" y="8260080"/>
          <a:ext cx="129540" cy="205740"/>
        </a:xfrm>
        <a:prstGeom prst="rect">
          <a:avLst/>
        </a:prstGeom>
        <a:noFill/>
      </xdr:spPr>
    </xdr:pic>
    <xdr:clientData/>
  </xdr:twoCellAnchor>
  <xdr:twoCellAnchor>
    <xdr:from>
      <xdr:col>3</xdr:col>
      <xdr:colOff>350520</xdr:colOff>
      <xdr:row>75</xdr:row>
      <xdr:rowOff>7620</xdr:rowOff>
    </xdr:from>
    <xdr:to>
      <xdr:col>3</xdr:col>
      <xdr:colOff>480060</xdr:colOff>
      <xdr:row>76</xdr:row>
      <xdr:rowOff>15240</xdr:rowOff>
    </xdr:to>
    <xdr:pic>
      <xdr:nvPicPr>
        <xdr:cNvPr id="25" name="Picture 8">
          <a:extLst>
            <a:ext uri="{FF2B5EF4-FFF2-40B4-BE49-F238E27FC236}">
              <a16:creationId xmlns:a16="http://schemas.microsoft.com/office/drawing/2014/main" id="{00000000-0008-0000-0900-000019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086100" y="8260080"/>
          <a:ext cx="129540" cy="205740"/>
        </a:xfrm>
        <a:prstGeom prst="rect">
          <a:avLst/>
        </a:prstGeom>
        <a:noFill/>
      </xdr:spPr>
    </xdr:pic>
    <xdr:clientData/>
  </xdr:twoCellAnchor>
  <xdr:twoCellAnchor>
    <xdr:from>
      <xdr:col>5</xdr:col>
      <xdr:colOff>214704</xdr:colOff>
      <xdr:row>75</xdr:row>
      <xdr:rowOff>31825</xdr:rowOff>
    </xdr:from>
    <xdr:to>
      <xdr:col>5</xdr:col>
      <xdr:colOff>610944</xdr:colOff>
      <xdr:row>76</xdr:row>
      <xdr:rowOff>39445</xdr:rowOff>
    </xdr:to>
    <xdr:pic>
      <xdr:nvPicPr>
        <xdr:cNvPr id="26" name="Picture 2">
          <a:extLst>
            <a:ext uri="{FF2B5EF4-FFF2-40B4-BE49-F238E27FC236}">
              <a16:creationId xmlns:a16="http://schemas.microsoft.com/office/drawing/2014/main" id="{00000000-0008-0000-0900-00001A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455010" y="15486978"/>
          <a:ext cx="396240" cy="204843"/>
        </a:xfrm>
        <a:prstGeom prst="rect">
          <a:avLst/>
        </a:prstGeom>
        <a:noFill/>
      </xdr:spPr>
    </xdr:pic>
    <xdr:clientData/>
  </xdr:twoCellAnchor>
  <xdr:twoCellAnchor>
    <xdr:from>
      <xdr:col>6</xdr:col>
      <xdr:colOff>48859</xdr:colOff>
      <xdr:row>74</xdr:row>
      <xdr:rowOff>231737</xdr:rowOff>
    </xdr:from>
    <xdr:to>
      <xdr:col>6</xdr:col>
      <xdr:colOff>445099</xdr:colOff>
      <xdr:row>76</xdr:row>
      <xdr:rowOff>6275</xdr:rowOff>
    </xdr:to>
    <xdr:pic>
      <xdr:nvPicPr>
        <xdr:cNvPr id="27" name="Picture 3">
          <a:extLst>
            <a:ext uri="{FF2B5EF4-FFF2-40B4-BE49-F238E27FC236}">
              <a16:creationId xmlns:a16="http://schemas.microsoft.com/office/drawing/2014/main" id="{00000000-0008-0000-0900-00001B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230459" y="15453808"/>
          <a:ext cx="396240" cy="204843"/>
        </a:xfrm>
        <a:prstGeom prst="rect">
          <a:avLst/>
        </a:prstGeom>
        <a:noFill/>
      </xdr:spPr>
    </xdr:pic>
    <xdr:clientData/>
  </xdr:twoCellAnchor>
  <xdr:twoCellAnchor>
    <xdr:from>
      <xdr:col>7</xdr:col>
      <xdr:colOff>85613</xdr:colOff>
      <xdr:row>75</xdr:row>
      <xdr:rowOff>4930</xdr:rowOff>
    </xdr:from>
    <xdr:to>
      <xdr:col>7</xdr:col>
      <xdr:colOff>1127312</xdr:colOff>
      <xdr:row>76</xdr:row>
      <xdr:rowOff>12550</xdr:rowOff>
    </xdr:to>
    <xdr:pic>
      <xdr:nvPicPr>
        <xdr:cNvPr id="28" name="Picture 4">
          <a:extLst>
            <a:ext uri="{FF2B5EF4-FFF2-40B4-BE49-F238E27FC236}">
              <a16:creationId xmlns:a16="http://schemas.microsoft.com/office/drawing/2014/main" id="{00000000-0008-0000-0900-00001C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5912672" y="15460083"/>
          <a:ext cx="1041699" cy="204843"/>
        </a:xfrm>
        <a:prstGeom prst="rect">
          <a:avLst/>
        </a:prstGeom>
        <a:noFill/>
      </xdr:spPr>
    </xdr:pic>
    <xdr:clientData/>
  </xdr:twoCellAnchor>
  <xdr:twoCellAnchor>
    <xdr:from>
      <xdr:col>4</xdr:col>
      <xdr:colOff>65890</xdr:colOff>
      <xdr:row>75</xdr:row>
      <xdr:rowOff>7620</xdr:rowOff>
    </xdr:from>
    <xdr:to>
      <xdr:col>5</xdr:col>
      <xdr:colOff>22860</xdr:colOff>
      <xdr:row>76</xdr:row>
      <xdr:rowOff>15241</xdr:rowOff>
    </xdr:to>
    <xdr:pic>
      <xdr:nvPicPr>
        <xdr:cNvPr id="29" name="Picture 6">
          <a:extLst>
            <a:ext uri="{FF2B5EF4-FFF2-40B4-BE49-F238E27FC236}">
              <a16:creationId xmlns:a16="http://schemas.microsoft.com/office/drawing/2014/main" id="{00000000-0008-0000-0900-00001D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669702" y="15462773"/>
          <a:ext cx="593464" cy="204844"/>
        </a:xfrm>
        <a:prstGeom prst="rect">
          <a:avLst/>
        </a:prstGeom>
        <a:noFill/>
      </xdr:spPr>
    </xdr:pic>
    <xdr:clientData/>
  </xdr:twoCellAnchor>
  <xdr:twoCellAnchor>
    <xdr:from>
      <xdr:col>1</xdr:col>
      <xdr:colOff>17930</xdr:colOff>
      <xdr:row>97</xdr:row>
      <xdr:rowOff>134471</xdr:rowOff>
    </xdr:from>
    <xdr:to>
      <xdr:col>3</xdr:col>
      <xdr:colOff>71718</xdr:colOff>
      <xdr:row>101</xdr:row>
      <xdr:rowOff>53789</xdr:rowOff>
    </xdr:to>
    <xdr:pic>
      <xdr:nvPicPr>
        <xdr:cNvPr id="30" name="Picture 11">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959224" y="20125765"/>
          <a:ext cx="1909482" cy="708212"/>
        </a:xfrm>
        <a:prstGeom prst="rect">
          <a:avLst/>
        </a:prstGeom>
        <a:noFill/>
      </xdr:spPr>
    </xdr:pic>
    <xdr:clientData/>
  </xdr:twoCellAnchor>
  <xdr:twoCellAnchor>
    <xdr:from>
      <xdr:col>2</xdr:col>
      <xdr:colOff>144780</xdr:colOff>
      <xdr:row>75</xdr:row>
      <xdr:rowOff>30480</xdr:rowOff>
    </xdr:from>
    <xdr:to>
      <xdr:col>2</xdr:col>
      <xdr:colOff>731520</xdr:colOff>
      <xdr:row>76</xdr:row>
      <xdr:rowOff>38100</xdr:rowOff>
    </xdr:to>
    <xdr:pic>
      <xdr:nvPicPr>
        <xdr:cNvPr id="31" name="Picture 5">
          <a:extLst>
            <a:ext uri="{FF2B5EF4-FFF2-40B4-BE49-F238E27FC236}">
              <a16:creationId xmlns:a16="http://schemas.microsoft.com/office/drawing/2014/main" id="{00000000-0008-0000-0900-00001F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1950720" y="15506700"/>
          <a:ext cx="586740" cy="205740"/>
        </a:xfrm>
        <a:prstGeom prst="rect">
          <a:avLst/>
        </a:prstGeom>
        <a:noFill/>
      </xdr:spPr>
    </xdr:pic>
    <xdr:clientData/>
  </xdr:twoCellAnchor>
  <xdr:twoCellAnchor>
    <xdr:from>
      <xdr:col>0</xdr:col>
      <xdr:colOff>189773</xdr:colOff>
      <xdr:row>107</xdr:row>
      <xdr:rowOff>193911</xdr:rowOff>
    </xdr:from>
    <xdr:to>
      <xdr:col>0</xdr:col>
      <xdr:colOff>697399</xdr:colOff>
      <xdr:row>109</xdr:row>
      <xdr:rowOff>34173</xdr:rowOff>
    </xdr:to>
    <xdr:pic>
      <xdr:nvPicPr>
        <xdr:cNvPr id="34" name="Picture 13">
          <a:extLst>
            <a:ext uri="{FF2B5EF4-FFF2-40B4-BE49-F238E27FC236}">
              <a16:creationId xmlns:a16="http://schemas.microsoft.com/office/drawing/2014/main" id="{00000000-0008-0000-0900-000022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189773" y="14191851"/>
          <a:ext cx="507626" cy="266982"/>
        </a:xfrm>
        <a:prstGeom prst="rect">
          <a:avLst/>
        </a:prstGeom>
        <a:noFill/>
      </xdr:spPr>
    </xdr:pic>
    <xdr:clientData/>
  </xdr:twoCellAnchor>
  <xdr:twoCellAnchor>
    <xdr:from>
      <xdr:col>4</xdr:col>
      <xdr:colOff>106680</xdr:colOff>
      <xdr:row>105</xdr:row>
      <xdr:rowOff>190500</xdr:rowOff>
    </xdr:from>
    <xdr:to>
      <xdr:col>4</xdr:col>
      <xdr:colOff>614306</xdr:colOff>
      <xdr:row>107</xdr:row>
      <xdr:rowOff>61242</xdr:rowOff>
    </xdr:to>
    <xdr:pic>
      <xdr:nvPicPr>
        <xdr:cNvPr id="35" name="Picture 13">
          <a:extLst>
            <a:ext uri="{FF2B5EF4-FFF2-40B4-BE49-F238E27FC236}">
              <a16:creationId xmlns:a16="http://schemas.microsoft.com/office/drawing/2014/main" id="{00000000-0008-0000-0900-000023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3703320" y="13792200"/>
          <a:ext cx="507626" cy="266982"/>
        </a:xfrm>
        <a:prstGeom prst="rect">
          <a:avLst/>
        </a:prstGeom>
        <a:noFill/>
      </xdr:spPr>
    </xdr:pic>
    <xdr:clientData/>
  </xdr:twoCellAnchor>
  <xdr:twoCellAnchor>
    <xdr:from>
      <xdr:col>0</xdr:col>
      <xdr:colOff>178997</xdr:colOff>
      <xdr:row>143</xdr:row>
      <xdr:rowOff>197174</xdr:rowOff>
    </xdr:from>
    <xdr:to>
      <xdr:col>0</xdr:col>
      <xdr:colOff>618309</xdr:colOff>
      <xdr:row>144</xdr:row>
      <xdr:rowOff>166360</xdr:rowOff>
    </xdr:to>
    <xdr:pic>
      <xdr:nvPicPr>
        <xdr:cNvPr id="146" name="Picture 2">
          <a:extLst>
            <a:ext uri="{FF2B5EF4-FFF2-40B4-BE49-F238E27FC236}">
              <a16:creationId xmlns:a16="http://schemas.microsoft.com/office/drawing/2014/main" id="{00000000-0008-0000-0900-000092000000}"/>
            </a:ext>
          </a:extLst>
        </xdr:cNvPr>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blip>
        <a:srcRect l="45472" t="25767" r="39156" b="34356"/>
        <a:stretch>
          <a:fillRect/>
        </a:stretch>
      </xdr:blipFill>
      <xdr:spPr bwMode="auto">
        <a:xfrm>
          <a:off x="178997" y="29368327"/>
          <a:ext cx="439312" cy="166409"/>
        </a:xfrm>
        <a:prstGeom prst="rect">
          <a:avLst/>
        </a:prstGeom>
        <a:noFill/>
      </xdr:spPr>
    </xdr:pic>
    <xdr:clientData/>
  </xdr:twoCellAnchor>
  <xdr:twoCellAnchor>
    <xdr:from>
      <xdr:col>0</xdr:col>
      <xdr:colOff>0</xdr:colOff>
      <xdr:row>102</xdr:row>
      <xdr:rowOff>0</xdr:rowOff>
    </xdr:from>
    <xdr:to>
      <xdr:col>6</xdr:col>
      <xdr:colOff>533400</xdr:colOff>
      <xdr:row>104</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a:stretch>
          <a:fillRect/>
        </a:stretch>
      </xdr:blipFill>
      <xdr:spPr bwMode="auto">
        <a:xfrm>
          <a:off x="0" y="21023580"/>
          <a:ext cx="5760720" cy="419100"/>
        </a:xfrm>
        <a:prstGeom prst="rect">
          <a:avLst/>
        </a:prstGeom>
        <a:noFill/>
      </xdr:spPr>
    </xdr:pic>
    <xdr:clientData/>
  </xdr:twoCellAnchor>
  <xdr:twoCellAnchor>
    <xdr:from>
      <xdr:col>0</xdr:col>
      <xdr:colOff>0</xdr:colOff>
      <xdr:row>63</xdr:row>
      <xdr:rowOff>0</xdr:rowOff>
    </xdr:from>
    <xdr:to>
      <xdr:col>6</xdr:col>
      <xdr:colOff>533400</xdr:colOff>
      <xdr:row>65</xdr:row>
      <xdr:rowOff>22860</xdr:rowOff>
    </xdr:to>
    <xdr:pic>
      <xdr:nvPicPr>
        <xdr:cNvPr id="4" name="Picture 4">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a:stretch>
          <a:fillRect/>
        </a:stretch>
      </xdr:blipFill>
      <xdr:spPr bwMode="auto">
        <a:xfrm>
          <a:off x="0" y="13007340"/>
          <a:ext cx="5760720" cy="419100"/>
        </a:xfrm>
        <a:prstGeom prst="rect">
          <a:avLst/>
        </a:prstGeom>
        <a:noFill/>
      </xdr:spPr>
    </xdr:pic>
    <xdr:clientData/>
  </xdr:twoCellAnchor>
  <xdr:twoCellAnchor>
    <xdr:from>
      <xdr:col>0</xdr:col>
      <xdr:colOff>62753</xdr:colOff>
      <xdr:row>66</xdr:row>
      <xdr:rowOff>89647</xdr:rowOff>
    </xdr:from>
    <xdr:to>
      <xdr:col>1</xdr:col>
      <xdr:colOff>384341</xdr:colOff>
      <xdr:row>68</xdr:row>
      <xdr:rowOff>112507</xdr:rowOff>
    </xdr:to>
    <xdr:pic>
      <xdr:nvPicPr>
        <xdr:cNvPr id="151" name="Picture 4">
          <a:extLst>
            <a:ext uri="{FF2B5EF4-FFF2-40B4-BE49-F238E27FC236}">
              <a16:creationId xmlns:a16="http://schemas.microsoft.com/office/drawing/2014/main" id="{00000000-0008-0000-0900-000097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r="78108"/>
        <a:stretch>
          <a:fillRect/>
        </a:stretch>
      </xdr:blipFill>
      <xdr:spPr bwMode="auto">
        <a:xfrm>
          <a:off x="62753" y="13662212"/>
          <a:ext cx="1262882" cy="417307"/>
        </a:xfrm>
        <a:prstGeom prst="rect">
          <a:avLst/>
        </a:prstGeom>
        <a:noFill/>
      </xdr:spPr>
    </xdr:pic>
    <xdr:clientData/>
  </xdr:twoCellAnchor>
  <xdr:twoCellAnchor>
    <xdr:from>
      <xdr:col>0</xdr:col>
      <xdr:colOff>0</xdr:colOff>
      <xdr:row>105</xdr:row>
      <xdr:rowOff>125507</xdr:rowOff>
    </xdr:from>
    <xdr:to>
      <xdr:col>1</xdr:col>
      <xdr:colOff>321588</xdr:colOff>
      <xdr:row>107</xdr:row>
      <xdr:rowOff>148367</xdr:rowOff>
    </xdr:to>
    <xdr:pic>
      <xdr:nvPicPr>
        <xdr:cNvPr id="152" name="Picture 4">
          <a:extLst>
            <a:ext uri="{FF2B5EF4-FFF2-40B4-BE49-F238E27FC236}">
              <a16:creationId xmlns:a16="http://schemas.microsoft.com/office/drawing/2014/main" id="{00000000-0008-0000-0900-000098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r="78108"/>
        <a:stretch>
          <a:fillRect/>
        </a:stretch>
      </xdr:blipFill>
      <xdr:spPr bwMode="auto">
        <a:xfrm>
          <a:off x="0" y="21694589"/>
          <a:ext cx="1262882" cy="417307"/>
        </a:xfrm>
        <a:prstGeom prst="rect">
          <a:avLst/>
        </a:prstGeom>
        <a:noFill/>
      </xdr:spPr>
    </xdr:pic>
    <xdr:clientData/>
  </xdr:twoCellAnchor>
  <xdr:twoCellAnchor>
    <xdr:from>
      <xdr:col>0</xdr:col>
      <xdr:colOff>0</xdr:colOff>
      <xdr:row>138</xdr:row>
      <xdr:rowOff>0</xdr:rowOff>
    </xdr:from>
    <xdr:to>
      <xdr:col>3</xdr:col>
      <xdr:colOff>114300</xdr:colOff>
      <xdr:row>140</xdr:row>
      <xdr:rowOff>22860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a:stretch>
          <a:fillRect/>
        </a:stretch>
      </xdr:blipFill>
      <xdr:spPr bwMode="auto">
        <a:xfrm>
          <a:off x="0" y="28247340"/>
          <a:ext cx="2956560" cy="419100"/>
        </a:xfrm>
        <a:prstGeom prst="rect">
          <a:avLst/>
        </a:prstGeom>
        <a:noFill/>
      </xdr:spPr>
    </xdr:pic>
    <xdr:clientData/>
  </xdr:twoCellAnchor>
  <xdr:twoCellAnchor>
    <xdr:from>
      <xdr:col>0</xdr:col>
      <xdr:colOff>8964</xdr:colOff>
      <xdr:row>140</xdr:row>
      <xdr:rowOff>152400</xdr:rowOff>
    </xdr:from>
    <xdr:to>
      <xdr:col>1</xdr:col>
      <xdr:colOff>336034</xdr:colOff>
      <xdr:row>142</xdr:row>
      <xdr:rowOff>175260</xdr:rowOff>
    </xdr:to>
    <xdr:pic>
      <xdr:nvPicPr>
        <xdr:cNvPr id="153" name="Picture 5">
          <a:extLst>
            <a:ext uri="{FF2B5EF4-FFF2-40B4-BE49-F238E27FC236}">
              <a16:creationId xmlns:a16="http://schemas.microsoft.com/office/drawing/2014/main" id="{00000000-0008-0000-0900-000099000000}"/>
            </a:ext>
          </a:extLst>
        </xdr:cNvPr>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blip>
        <a:srcRect r="57224"/>
        <a:stretch>
          <a:fillRect/>
        </a:stretch>
      </xdr:blipFill>
      <xdr:spPr bwMode="auto">
        <a:xfrm>
          <a:off x="8964" y="28731882"/>
          <a:ext cx="1268364" cy="417307"/>
        </a:xfrm>
        <a:prstGeom prst="rect">
          <a:avLst/>
        </a:prstGeom>
        <a:noFill/>
      </xdr:spPr>
    </xdr:pic>
    <xdr:clientData/>
  </xdr:twoCellAnchor>
  <xdr:twoCellAnchor>
    <xdr:from>
      <xdr:col>0</xdr:col>
      <xdr:colOff>143435</xdr:colOff>
      <xdr:row>198</xdr:row>
      <xdr:rowOff>197222</xdr:rowOff>
    </xdr:from>
    <xdr:to>
      <xdr:col>3</xdr:col>
      <xdr:colOff>376518</xdr:colOff>
      <xdr:row>202</xdr:row>
      <xdr:rowOff>116540</xdr:rowOff>
    </xdr:to>
    <xdr:pic>
      <xdr:nvPicPr>
        <xdr:cNvPr id="6" name="Picture 6">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blip>
        <a:srcRect/>
        <a:stretch>
          <a:fillRect/>
        </a:stretch>
      </xdr:blipFill>
      <xdr:spPr bwMode="auto">
        <a:xfrm>
          <a:off x="143435" y="36952516"/>
          <a:ext cx="3083859" cy="708212"/>
        </a:xfrm>
        <a:prstGeom prst="rect">
          <a:avLst/>
        </a:prstGeom>
        <a:noFill/>
      </xdr:spPr>
    </xdr:pic>
    <xdr:clientData/>
  </xdr:twoCellAnchor>
  <xdr:twoCellAnchor>
    <xdr:from>
      <xdr:col>1</xdr:col>
      <xdr:colOff>17930</xdr:colOff>
      <xdr:row>180</xdr:row>
      <xdr:rowOff>134471</xdr:rowOff>
    </xdr:from>
    <xdr:to>
      <xdr:col>3</xdr:col>
      <xdr:colOff>71718</xdr:colOff>
      <xdr:row>184</xdr:row>
      <xdr:rowOff>53789</xdr:rowOff>
    </xdr:to>
    <xdr:pic>
      <xdr:nvPicPr>
        <xdr:cNvPr id="159" name="Picture 11">
          <a:extLst>
            <a:ext uri="{FF2B5EF4-FFF2-40B4-BE49-F238E27FC236}">
              <a16:creationId xmlns:a16="http://schemas.microsoft.com/office/drawing/2014/main" id="{00000000-0008-0000-0900-00009F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959224" y="20125765"/>
          <a:ext cx="1963270" cy="708212"/>
        </a:xfrm>
        <a:prstGeom prst="rect">
          <a:avLst/>
        </a:prstGeom>
        <a:noFill/>
      </xdr:spPr>
    </xdr:pic>
    <xdr:clientData/>
  </xdr:twoCellAnchor>
  <xdr:twoCellAnchor>
    <xdr:from>
      <xdr:col>0</xdr:col>
      <xdr:colOff>189773</xdr:colOff>
      <xdr:row>190</xdr:row>
      <xdr:rowOff>193911</xdr:rowOff>
    </xdr:from>
    <xdr:to>
      <xdr:col>0</xdr:col>
      <xdr:colOff>697399</xdr:colOff>
      <xdr:row>192</xdr:row>
      <xdr:rowOff>34173</xdr:rowOff>
    </xdr:to>
    <xdr:pic>
      <xdr:nvPicPr>
        <xdr:cNvPr id="160" name="Picture 13">
          <a:extLst>
            <a:ext uri="{FF2B5EF4-FFF2-40B4-BE49-F238E27FC236}">
              <a16:creationId xmlns:a16="http://schemas.microsoft.com/office/drawing/2014/main" id="{00000000-0008-0000-0900-0000A0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189773" y="22157440"/>
          <a:ext cx="507626" cy="270568"/>
        </a:xfrm>
        <a:prstGeom prst="rect">
          <a:avLst/>
        </a:prstGeom>
        <a:noFill/>
      </xdr:spPr>
    </xdr:pic>
    <xdr:clientData/>
  </xdr:twoCellAnchor>
  <xdr:twoCellAnchor>
    <xdr:from>
      <xdr:col>4</xdr:col>
      <xdr:colOff>106680</xdr:colOff>
      <xdr:row>188</xdr:row>
      <xdr:rowOff>190500</xdr:rowOff>
    </xdr:from>
    <xdr:to>
      <xdr:col>4</xdr:col>
      <xdr:colOff>614306</xdr:colOff>
      <xdr:row>190</xdr:row>
      <xdr:rowOff>61242</xdr:rowOff>
    </xdr:to>
    <xdr:pic>
      <xdr:nvPicPr>
        <xdr:cNvPr id="161" name="Picture 13">
          <a:extLst>
            <a:ext uri="{FF2B5EF4-FFF2-40B4-BE49-F238E27FC236}">
              <a16:creationId xmlns:a16="http://schemas.microsoft.com/office/drawing/2014/main" id="{00000000-0008-0000-0900-0000A1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3818068" y="21759582"/>
          <a:ext cx="507626" cy="265189"/>
        </a:xfrm>
        <a:prstGeom prst="rect">
          <a:avLst/>
        </a:prstGeom>
        <a:noFill/>
      </xdr:spPr>
    </xdr:pic>
    <xdr:clientData/>
  </xdr:twoCellAnchor>
  <xdr:twoCellAnchor>
    <xdr:from>
      <xdr:col>0</xdr:col>
      <xdr:colOff>0</xdr:colOff>
      <xdr:row>185</xdr:row>
      <xdr:rowOff>0</xdr:rowOff>
    </xdr:from>
    <xdr:to>
      <xdr:col>6</xdr:col>
      <xdr:colOff>533400</xdr:colOff>
      <xdr:row>187</xdr:row>
      <xdr:rowOff>22860</xdr:rowOff>
    </xdr:to>
    <xdr:pic>
      <xdr:nvPicPr>
        <xdr:cNvPr id="162" name="Picture 3">
          <a:extLst>
            <a:ext uri="{FF2B5EF4-FFF2-40B4-BE49-F238E27FC236}">
              <a16:creationId xmlns:a16="http://schemas.microsoft.com/office/drawing/2014/main" id="{00000000-0008-0000-0900-0000A2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a:stretch>
          <a:fillRect/>
        </a:stretch>
      </xdr:blipFill>
      <xdr:spPr bwMode="auto">
        <a:xfrm>
          <a:off x="0" y="20977412"/>
          <a:ext cx="5822576" cy="417307"/>
        </a:xfrm>
        <a:prstGeom prst="rect">
          <a:avLst/>
        </a:prstGeom>
        <a:noFill/>
      </xdr:spPr>
    </xdr:pic>
    <xdr:clientData/>
  </xdr:twoCellAnchor>
  <xdr:twoCellAnchor>
    <xdr:from>
      <xdr:col>0</xdr:col>
      <xdr:colOff>0</xdr:colOff>
      <xdr:row>188</xdr:row>
      <xdr:rowOff>125507</xdr:rowOff>
    </xdr:from>
    <xdr:to>
      <xdr:col>1</xdr:col>
      <xdr:colOff>321588</xdr:colOff>
      <xdr:row>190</xdr:row>
      <xdr:rowOff>148367</xdr:rowOff>
    </xdr:to>
    <xdr:pic>
      <xdr:nvPicPr>
        <xdr:cNvPr id="163" name="Picture 4">
          <a:extLst>
            <a:ext uri="{FF2B5EF4-FFF2-40B4-BE49-F238E27FC236}">
              <a16:creationId xmlns:a16="http://schemas.microsoft.com/office/drawing/2014/main" id="{00000000-0008-0000-0900-0000A3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r="78108"/>
        <a:stretch>
          <a:fillRect/>
        </a:stretch>
      </xdr:blipFill>
      <xdr:spPr bwMode="auto">
        <a:xfrm>
          <a:off x="0" y="21694589"/>
          <a:ext cx="1262882" cy="417307"/>
        </a:xfrm>
        <a:prstGeom prst="rect">
          <a:avLst/>
        </a:prstGeom>
        <a:noFill/>
      </xdr:spPr>
    </xdr:pic>
    <xdr:clientData/>
  </xdr:twoCellAnchor>
  <xdr:twoCellAnchor>
    <xdr:from>
      <xdr:col>1</xdr:col>
      <xdr:colOff>327660</xdr:colOff>
      <xdr:row>231</xdr:row>
      <xdr:rowOff>7620</xdr:rowOff>
    </xdr:from>
    <xdr:to>
      <xdr:col>1</xdr:col>
      <xdr:colOff>457200</xdr:colOff>
      <xdr:row>232</xdr:row>
      <xdr:rowOff>15240</xdr:rowOff>
    </xdr:to>
    <xdr:pic>
      <xdr:nvPicPr>
        <xdr:cNvPr id="164" name="Picture 7">
          <a:extLst>
            <a:ext uri="{FF2B5EF4-FFF2-40B4-BE49-F238E27FC236}">
              <a16:creationId xmlns:a16="http://schemas.microsoft.com/office/drawing/2014/main" id="{00000000-0008-0000-0900-0000A4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15462773"/>
          <a:ext cx="129540" cy="204843"/>
        </a:xfrm>
        <a:prstGeom prst="rect">
          <a:avLst/>
        </a:prstGeom>
        <a:noFill/>
      </xdr:spPr>
    </xdr:pic>
    <xdr:clientData/>
  </xdr:twoCellAnchor>
  <xdr:twoCellAnchor>
    <xdr:from>
      <xdr:col>3</xdr:col>
      <xdr:colOff>350520</xdr:colOff>
      <xdr:row>231</xdr:row>
      <xdr:rowOff>7620</xdr:rowOff>
    </xdr:from>
    <xdr:to>
      <xdr:col>3</xdr:col>
      <xdr:colOff>480060</xdr:colOff>
      <xdr:row>232</xdr:row>
      <xdr:rowOff>15240</xdr:rowOff>
    </xdr:to>
    <xdr:pic>
      <xdr:nvPicPr>
        <xdr:cNvPr id="165" name="Picture 8">
          <a:extLst>
            <a:ext uri="{FF2B5EF4-FFF2-40B4-BE49-F238E27FC236}">
              <a16:creationId xmlns:a16="http://schemas.microsoft.com/office/drawing/2014/main" id="{00000000-0008-0000-0900-0000A5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01296" y="15462773"/>
          <a:ext cx="129540" cy="204843"/>
        </a:xfrm>
        <a:prstGeom prst="rect">
          <a:avLst/>
        </a:prstGeom>
        <a:noFill/>
      </xdr:spPr>
    </xdr:pic>
    <xdr:clientData/>
  </xdr:twoCellAnchor>
  <xdr:twoCellAnchor>
    <xdr:from>
      <xdr:col>5</xdr:col>
      <xdr:colOff>214704</xdr:colOff>
      <xdr:row>231</xdr:row>
      <xdr:rowOff>31825</xdr:rowOff>
    </xdr:from>
    <xdr:to>
      <xdr:col>5</xdr:col>
      <xdr:colOff>610944</xdr:colOff>
      <xdr:row>232</xdr:row>
      <xdr:rowOff>39445</xdr:rowOff>
    </xdr:to>
    <xdr:pic>
      <xdr:nvPicPr>
        <xdr:cNvPr id="166" name="Picture 2">
          <a:extLst>
            <a:ext uri="{FF2B5EF4-FFF2-40B4-BE49-F238E27FC236}">
              <a16:creationId xmlns:a16="http://schemas.microsoft.com/office/drawing/2014/main" id="{00000000-0008-0000-0900-0000A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562586" y="15486978"/>
          <a:ext cx="396240" cy="204843"/>
        </a:xfrm>
        <a:prstGeom prst="rect">
          <a:avLst/>
        </a:prstGeom>
        <a:noFill/>
      </xdr:spPr>
    </xdr:pic>
    <xdr:clientData/>
  </xdr:twoCellAnchor>
  <xdr:twoCellAnchor>
    <xdr:from>
      <xdr:col>6</xdr:col>
      <xdr:colOff>48859</xdr:colOff>
      <xdr:row>230</xdr:row>
      <xdr:rowOff>231737</xdr:rowOff>
    </xdr:from>
    <xdr:to>
      <xdr:col>6</xdr:col>
      <xdr:colOff>445099</xdr:colOff>
      <xdr:row>232</xdr:row>
      <xdr:rowOff>6275</xdr:rowOff>
    </xdr:to>
    <xdr:pic>
      <xdr:nvPicPr>
        <xdr:cNvPr id="167" name="Picture 3">
          <a:extLst>
            <a:ext uri="{FF2B5EF4-FFF2-40B4-BE49-F238E27FC236}">
              <a16:creationId xmlns:a16="http://schemas.microsoft.com/office/drawing/2014/main" id="{00000000-0008-0000-0900-0000A7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127812" y="15453808"/>
          <a:ext cx="0" cy="204843"/>
        </a:xfrm>
        <a:prstGeom prst="rect">
          <a:avLst/>
        </a:prstGeom>
        <a:noFill/>
      </xdr:spPr>
    </xdr:pic>
    <xdr:clientData/>
  </xdr:twoCellAnchor>
  <xdr:twoCellAnchor>
    <xdr:from>
      <xdr:col>7</xdr:col>
      <xdr:colOff>85613</xdr:colOff>
      <xdr:row>231</xdr:row>
      <xdr:rowOff>4930</xdr:rowOff>
    </xdr:from>
    <xdr:to>
      <xdr:col>7</xdr:col>
      <xdr:colOff>1127312</xdr:colOff>
      <xdr:row>232</xdr:row>
      <xdr:rowOff>12550</xdr:rowOff>
    </xdr:to>
    <xdr:pic>
      <xdr:nvPicPr>
        <xdr:cNvPr id="168" name="Picture 4">
          <a:extLst>
            <a:ext uri="{FF2B5EF4-FFF2-40B4-BE49-F238E27FC236}">
              <a16:creationId xmlns:a16="http://schemas.microsoft.com/office/drawing/2014/main" id="{00000000-0008-0000-0900-0000A8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5213425" y="15460083"/>
          <a:ext cx="1041699" cy="204843"/>
        </a:xfrm>
        <a:prstGeom prst="rect">
          <a:avLst/>
        </a:prstGeom>
        <a:noFill/>
      </xdr:spPr>
    </xdr:pic>
    <xdr:clientData/>
  </xdr:twoCellAnchor>
  <xdr:twoCellAnchor>
    <xdr:from>
      <xdr:col>4</xdr:col>
      <xdr:colOff>65890</xdr:colOff>
      <xdr:row>231</xdr:row>
      <xdr:rowOff>7620</xdr:rowOff>
    </xdr:from>
    <xdr:to>
      <xdr:col>5</xdr:col>
      <xdr:colOff>22860</xdr:colOff>
      <xdr:row>232</xdr:row>
      <xdr:rowOff>15241</xdr:rowOff>
    </xdr:to>
    <xdr:pic>
      <xdr:nvPicPr>
        <xdr:cNvPr id="169" name="Picture 6">
          <a:extLst>
            <a:ext uri="{FF2B5EF4-FFF2-40B4-BE49-F238E27FC236}">
              <a16:creationId xmlns:a16="http://schemas.microsoft.com/office/drawing/2014/main" id="{00000000-0008-0000-0900-0000A9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777278" y="15462773"/>
          <a:ext cx="593464" cy="204844"/>
        </a:xfrm>
        <a:prstGeom prst="rect">
          <a:avLst/>
        </a:prstGeom>
        <a:noFill/>
      </xdr:spPr>
    </xdr:pic>
    <xdr:clientData/>
  </xdr:twoCellAnchor>
  <xdr:twoCellAnchor>
    <xdr:from>
      <xdr:col>1</xdr:col>
      <xdr:colOff>17930</xdr:colOff>
      <xdr:row>253</xdr:row>
      <xdr:rowOff>134471</xdr:rowOff>
    </xdr:from>
    <xdr:to>
      <xdr:col>3</xdr:col>
      <xdr:colOff>71718</xdr:colOff>
      <xdr:row>257</xdr:row>
      <xdr:rowOff>53789</xdr:rowOff>
    </xdr:to>
    <xdr:pic>
      <xdr:nvPicPr>
        <xdr:cNvPr id="170" name="Picture 11">
          <a:extLst>
            <a:ext uri="{FF2B5EF4-FFF2-40B4-BE49-F238E27FC236}">
              <a16:creationId xmlns:a16="http://schemas.microsoft.com/office/drawing/2014/main" id="{00000000-0008-0000-0900-0000AA000000}"/>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blip>
        <a:srcRect/>
        <a:stretch>
          <a:fillRect/>
        </a:stretch>
      </xdr:blipFill>
      <xdr:spPr bwMode="auto">
        <a:xfrm>
          <a:off x="959224" y="20125765"/>
          <a:ext cx="1963270" cy="708212"/>
        </a:xfrm>
        <a:prstGeom prst="rect">
          <a:avLst/>
        </a:prstGeom>
        <a:noFill/>
      </xdr:spPr>
    </xdr:pic>
    <xdr:clientData/>
  </xdr:twoCellAnchor>
  <xdr:twoCellAnchor>
    <xdr:from>
      <xdr:col>2</xdr:col>
      <xdr:colOff>144780</xdr:colOff>
      <xdr:row>231</xdr:row>
      <xdr:rowOff>30480</xdr:rowOff>
    </xdr:from>
    <xdr:to>
      <xdr:col>2</xdr:col>
      <xdr:colOff>731520</xdr:colOff>
      <xdr:row>232</xdr:row>
      <xdr:rowOff>38100</xdr:rowOff>
    </xdr:to>
    <xdr:pic>
      <xdr:nvPicPr>
        <xdr:cNvPr id="171" name="Picture 5">
          <a:extLst>
            <a:ext uri="{FF2B5EF4-FFF2-40B4-BE49-F238E27FC236}">
              <a16:creationId xmlns:a16="http://schemas.microsoft.com/office/drawing/2014/main" id="{00000000-0008-0000-0900-0000AB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09439" y="15485633"/>
          <a:ext cx="586740" cy="204843"/>
        </a:xfrm>
        <a:prstGeom prst="rect">
          <a:avLst/>
        </a:prstGeom>
        <a:noFill/>
      </xdr:spPr>
    </xdr:pic>
    <xdr:clientData/>
  </xdr:twoCellAnchor>
  <xdr:twoCellAnchor>
    <xdr:from>
      <xdr:col>0</xdr:col>
      <xdr:colOff>189773</xdr:colOff>
      <xdr:row>263</xdr:row>
      <xdr:rowOff>193911</xdr:rowOff>
    </xdr:from>
    <xdr:to>
      <xdr:col>0</xdr:col>
      <xdr:colOff>697399</xdr:colOff>
      <xdr:row>265</xdr:row>
      <xdr:rowOff>34173</xdr:rowOff>
    </xdr:to>
    <xdr:pic>
      <xdr:nvPicPr>
        <xdr:cNvPr id="172" name="Picture 13">
          <a:extLst>
            <a:ext uri="{FF2B5EF4-FFF2-40B4-BE49-F238E27FC236}">
              <a16:creationId xmlns:a16="http://schemas.microsoft.com/office/drawing/2014/main" id="{00000000-0008-0000-0900-0000AC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189773" y="22157440"/>
          <a:ext cx="507626" cy="270568"/>
        </a:xfrm>
        <a:prstGeom prst="rect">
          <a:avLst/>
        </a:prstGeom>
        <a:noFill/>
      </xdr:spPr>
    </xdr:pic>
    <xdr:clientData/>
  </xdr:twoCellAnchor>
  <xdr:twoCellAnchor>
    <xdr:from>
      <xdr:col>4</xdr:col>
      <xdr:colOff>106680</xdr:colOff>
      <xdr:row>261</xdr:row>
      <xdr:rowOff>190500</xdr:rowOff>
    </xdr:from>
    <xdr:to>
      <xdr:col>4</xdr:col>
      <xdr:colOff>614306</xdr:colOff>
      <xdr:row>263</xdr:row>
      <xdr:rowOff>61242</xdr:rowOff>
    </xdr:to>
    <xdr:pic>
      <xdr:nvPicPr>
        <xdr:cNvPr id="173" name="Picture 13">
          <a:extLst>
            <a:ext uri="{FF2B5EF4-FFF2-40B4-BE49-F238E27FC236}">
              <a16:creationId xmlns:a16="http://schemas.microsoft.com/office/drawing/2014/main" id="{00000000-0008-0000-0900-0000AD000000}"/>
            </a:ext>
          </a:extLst>
        </xdr:cNvPr>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blip>
        <a:srcRect l="24102" t="11383" r="67486" b="51224"/>
        <a:stretch>
          <a:fillRect/>
        </a:stretch>
      </xdr:blipFill>
      <xdr:spPr bwMode="auto">
        <a:xfrm>
          <a:off x="3818068" y="21759582"/>
          <a:ext cx="507626" cy="265189"/>
        </a:xfrm>
        <a:prstGeom prst="rect">
          <a:avLst/>
        </a:prstGeom>
        <a:noFill/>
      </xdr:spPr>
    </xdr:pic>
    <xdr:clientData/>
  </xdr:twoCellAnchor>
  <xdr:twoCellAnchor>
    <xdr:from>
      <xdr:col>0</xdr:col>
      <xdr:colOff>0</xdr:colOff>
      <xdr:row>258</xdr:row>
      <xdr:rowOff>0</xdr:rowOff>
    </xdr:from>
    <xdr:to>
      <xdr:col>6</xdr:col>
      <xdr:colOff>533400</xdr:colOff>
      <xdr:row>260</xdr:row>
      <xdr:rowOff>22860</xdr:rowOff>
    </xdr:to>
    <xdr:pic>
      <xdr:nvPicPr>
        <xdr:cNvPr id="174" name="Picture 3">
          <a:extLst>
            <a:ext uri="{FF2B5EF4-FFF2-40B4-BE49-F238E27FC236}">
              <a16:creationId xmlns:a16="http://schemas.microsoft.com/office/drawing/2014/main" id="{00000000-0008-0000-0900-0000AE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a:stretch>
          <a:fillRect/>
        </a:stretch>
      </xdr:blipFill>
      <xdr:spPr bwMode="auto">
        <a:xfrm>
          <a:off x="0" y="20977412"/>
          <a:ext cx="5127812" cy="417307"/>
        </a:xfrm>
        <a:prstGeom prst="rect">
          <a:avLst/>
        </a:prstGeom>
        <a:noFill/>
      </xdr:spPr>
    </xdr:pic>
    <xdr:clientData/>
  </xdr:twoCellAnchor>
  <xdr:twoCellAnchor>
    <xdr:from>
      <xdr:col>0</xdr:col>
      <xdr:colOff>0</xdr:colOff>
      <xdr:row>261</xdr:row>
      <xdr:rowOff>125507</xdr:rowOff>
    </xdr:from>
    <xdr:to>
      <xdr:col>1</xdr:col>
      <xdr:colOff>321588</xdr:colOff>
      <xdr:row>263</xdr:row>
      <xdr:rowOff>148367</xdr:rowOff>
    </xdr:to>
    <xdr:pic>
      <xdr:nvPicPr>
        <xdr:cNvPr id="175" name="Picture 4">
          <a:extLst>
            <a:ext uri="{FF2B5EF4-FFF2-40B4-BE49-F238E27FC236}">
              <a16:creationId xmlns:a16="http://schemas.microsoft.com/office/drawing/2014/main" id="{00000000-0008-0000-0900-0000AF000000}"/>
            </a:ext>
          </a:extLst>
        </xdr:cNvPr>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blip>
        <a:srcRect r="78108"/>
        <a:stretch>
          <a:fillRect/>
        </a:stretch>
      </xdr:blipFill>
      <xdr:spPr bwMode="auto">
        <a:xfrm>
          <a:off x="0" y="21694589"/>
          <a:ext cx="1262882" cy="417307"/>
        </a:xfrm>
        <a:prstGeom prst="rect">
          <a:avLst/>
        </a:prstGeom>
        <a:noFill/>
      </xdr:spPr>
    </xdr:pic>
    <xdr:clientData/>
  </xdr:twoCellAnchor>
  <xdr:twoCellAnchor>
    <xdr:from>
      <xdr:col>1</xdr:col>
      <xdr:colOff>327660</xdr:colOff>
      <xdr:row>268</xdr:row>
      <xdr:rowOff>7620</xdr:rowOff>
    </xdr:from>
    <xdr:to>
      <xdr:col>1</xdr:col>
      <xdr:colOff>457200</xdr:colOff>
      <xdr:row>269</xdr:row>
      <xdr:rowOff>15240</xdr:rowOff>
    </xdr:to>
    <xdr:pic>
      <xdr:nvPicPr>
        <xdr:cNvPr id="176" name="Picture 7">
          <a:extLst>
            <a:ext uri="{FF2B5EF4-FFF2-40B4-BE49-F238E27FC236}">
              <a16:creationId xmlns:a16="http://schemas.microsoft.com/office/drawing/2014/main" id="{00000000-0008-0000-0900-0000B0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46973714"/>
          <a:ext cx="129540" cy="204844"/>
        </a:xfrm>
        <a:prstGeom prst="rect">
          <a:avLst/>
        </a:prstGeom>
        <a:noFill/>
      </xdr:spPr>
    </xdr:pic>
    <xdr:clientData/>
  </xdr:twoCellAnchor>
  <xdr:twoCellAnchor>
    <xdr:from>
      <xdr:col>3</xdr:col>
      <xdr:colOff>350520</xdr:colOff>
      <xdr:row>268</xdr:row>
      <xdr:rowOff>7620</xdr:rowOff>
    </xdr:from>
    <xdr:to>
      <xdr:col>3</xdr:col>
      <xdr:colOff>480060</xdr:colOff>
      <xdr:row>269</xdr:row>
      <xdr:rowOff>15240</xdr:rowOff>
    </xdr:to>
    <xdr:pic>
      <xdr:nvPicPr>
        <xdr:cNvPr id="177" name="Picture 8">
          <a:extLst>
            <a:ext uri="{FF2B5EF4-FFF2-40B4-BE49-F238E27FC236}">
              <a16:creationId xmlns:a16="http://schemas.microsoft.com/office/drawing/2014/main" id="{00000000-0008-0000-0900-0000B1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01296" y="46973714"/>
          <a:ext cx="129540" cy="204844"/>
        </a:xfrm>
        <a:prstGeom prst="rect">
          <a:avLst/>
        </a:prstGeom>
        <a:noFill/>
      </xdr:spPr>
    </xdr:pic>
    <xdr:clientData/>
  </xdr:twoCellAnchor>
  <xdr:twoCellAnchor>
    <xdr:from>
      <xdr:col>0</xdr:col>
      <xdr:colOff>17929</xdr:colOff>
      <xdr:row>287</xdr:row>
      <xdr:rowOff>44823</xdr:rowOff>
    </xdr:from>
    <xdr:to>
      <xdr:col>1</xdr:col>
      <xdr:colOff>683963</xdr:colOff>
      <xdr:row>289</xdr:row>
      <xdr:rowOff>170329</xdr:rowOff>
    </xdr:to>
    <xdr:pic>
      <xdr:nvPicPr>
        <xdr:cNvPr id="7" name="Picture 7">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a:stretch>
          <a:fillRect/>
        </a:stretch>
      </xdr:blipFill>
      <xdr:spPr bwMode="auto">
        <a:xfrm>
          <a:off x="17929" y="58315411"/>
          <a:ext cx="1607328" cy="519953"/>
        </a:xfrm>
        <a:prstGeom prst="rect">
          <a:avLst/>
        </a:prstGeom>
        <a:noFill/>
      </xdr:spPr>
    </xdr:pic>
    <xdr:clientData/>
  </xdr:twoCellAnchor>
  <xdr:twoCellAnchor>
    <xdr:from>
      <xdr:col>0</xdr:col>
      <xdr:colOff>0</xdr:colOff>
      <xdr:row>290</xdr:row>
      <xdr:rowOff>197222</xdr:rowOff>
    </xdr:from>
    <xdr:to>
      <xdr:col>4</xdr:col>
      <xdr:colOff>52938</xdr:colOff>
      <xdr:row>292</xdr:row>
      <xdr:rowOff>89646</xdr:rowOff>
    </xdr:to>
    <xdr:pic>
      <xdr:nvPicPr>
        <xdr:cNvPr id="8" name="Picture 8">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0" y="59059481"/>
          <a:ext cx="3764326" cy="286871"/>
        </a:xfrm>
        <a:prstGeom prst="rect">
          <a:avLst/>
        </a:prstGeom>
        <a:noFill/>
      </xdr:spPr>
    </xdr:pic>
    <xdr:clientData/>
  </xdr:twoCellAnchor>
  <xdr:twoCellAnchor>
    <xdr:from>
      <xdr:col>0</xdr:col>
      <xdr:colOff>213406</xdr:colOff>
      <xdr:row>292</xdr:row>
      <xdr:rowOff>170329</xdr:rowOff>
    </xdr:from>
    <xdr:to>
      <xdr:col>0</xdr:col>
      <xdr:colOff>657647</xdr:colOff>
      <xdr:row>294</xdr:row>
      <xdr:rowOff>62753</xdr:rowOff>
    </xdr:to>
    <xdr:pic>
      <xdr:nvPicPr>
        <xdr:cNvPr id="179" name="Picture 8">
          <a:extLst>
            <a:ext uri="{FF2B5EF4-FFF2-40B4-BE49-F238E27FC236}">
              <a16:creationId xmlns:a16="http://schemas.microsoft.com/office/drawing/2014/main" id="{00000000-0008-0000-0900-0000B3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l="13290" r="74907"/>
        <a:stretch>
          <a:fillRect/>
        </a:stretch>
      </xdr:blipFill>
      <xdr:spPr bwMode="auto">
        <a:xfrm>
          <a:off x="213406" y="59427035"/>
          <a:ext cx="444241" cy="286871"/>
        </a:xfrm>
        <a:prstGeom prst="rect">
          <a:avLst/>
        </a:prstGeom>
        <a:noFill/>
      </xdr:spPr>
    </xdr:pic>
    <xdr:clientData/>
  </xdr:twoCellAnchor>
  <xdr:twoCellAnchor>
    <xdr:from>
      <xdr:col>0</xdr:col>
      <xdr:colOff>466164</xdr:colOff>
      <xdr:row>384</xdr:row>
      <xdr:rowOff>62753</xdr:rowOff>
    </xdr:from>
    <xdr:to>
      <xdr:col>2</xdr:col>
      <xdr:colOff>208833</xdr:colOff>
      <xdr:row>386</xdr:row>
      <xdr:rowOff>188259</xdr:rowOff>
    </xdr:to>
    <xdr:pic>
      <xdr:nvPicPr>
        <xdr:cNvPr id="181" name="Picture 7">
          <a:extLst>
            <a:ext uri="{FF2B5EF4-FFF2-40B4-BE49-F238E27FC236}">
              <a16:creationId xmlns:a16="http://schemas.microsoft.com/office/drawing/2014/main" id="{00000000-0008-0000-0900-0000B5000000}"/>
            </a:ext>
          </a:extLst>
        </xdr:cNvPr>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blip>
        <a:srcRect/>
        <a:stretch>
          <a:fillRect/>
        </a:stretch>
      </xdr:blipFill>
      <xdr:spPr bwMode="auto">
        <a:xfrm>
          <a:off x="466164" y="77508847"/>
          <a:ext cx="1607328" cy="519953"/>
        </a:xfrm>
        <a:prstGeom prst="rect">
          <a:avLst/>
        </a:prstGeom>
        <a:noFill/>
      </xdr:spPr>
    </xdr:pic>
    <xdr:clientData/>
  </xdr:twoCellAnchor>
  <xdr:twoCellAnchor>
    <xdr:from>
      <xdr:col>0</xdr:col>
      <xdr:colOff>0</xdr:colOff>
      <xdr:row>387</xdr:row>
      <xdr:rowOff>197222</xdr:rowOff>
    </xdr:from>
    <xdr:to>
      <xdr:col>4</xdr:col>
      <xdr:colOff>52938</xdr:colOff>
      <xdr:row>389</xdr:row>
      <xdr:rowOff>89646</xdr:rowOff>
    </xdr:to>
    <xdr:pic>
      <xdr:nvPicPr>
        <xdr:cNvPr id="182" name="Picture 8">
          <a:extLst>
            <a:ext uri="{FF2B5EF4-FFF2-40B4-BE49-F238E27FC236}">
              <a16:creationId xmlns:a16="http://schemas.microsoft.com/office/drawing/2014/main" id="{00000000-0008-0000-0900-0000B6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a:stretch>
          <a:fillRect/>
        </a:stretch>
      </xdr:blipFill>
      <xdr:spPr bwMode="auto">
        <a:xfrm>
          <a:off x="0" y="59059481"/>
          <a:ext cx="3764326" cy="286871"/>
        </a:xfrm>
        <a:prstGeom prst="rect">
          <a:avLst/>
        </a:prstGeom>
        <a:noFill/>
      </xdr:spPr>
    </xdr:pic>
    <xdr:clientData/>
  </xdr:twoCellAnchor>
  <xdr:twoCellAnchor>
    <xdr:from>
      <xdr:col>0</xdr:col>
      <xdr:colOff>213406</xdr:colOff>
      <xdr:row>389</xdr:row>
      <xdr:rowOff>170329</xdr:rowOff>
    </xdr:from>
    <xdr:to>
      <xdr:col>0</xdr:col>
      <xdr:colOff>657647</xdr:colOff>
      <xdr:row>391</xdr:row>
      <xdr:rowOff>62753</xdr:rowOff>
    </xdr:to>
    <xdr:pic>
      <xdr:nvPicPr>
        <xdr:cNvPr id="183" name="Picture 8">
          <a:extLst>
            <a:ext uri="{FF2B5EF4-FFF2-40B4-BE49-F238E27FC236}">
              <a16:creationId xmlns:a16="http://schemas.microsoft.com/office/drawing/2014/main" id="{00000000-0008-0000-0900-0000B7000000}"/>
            </a:ext>
          </a:extLst>
        </xdr:cNvPr>
        <xdr:cNvPicPr>
          <a:picLocks noChangeAspect="1" noChangeArrowheads="1"/>
        </xdr:cNvPicPr>
      </xdr:nvPicPr>
      <xdr:blipFill>
        <a:blip xmlns:r="http://schemas.openxmlformats.org/officeDocument/2006/relationships" r:embed="rId16">
          <a:clrChange>
            <a:clrFrom>
              <a:srgbClr val="FFFFFF"/>
            </a:clrFrom>
            <a:clrTo>
              <a:srgbClr val="FFFFFF">
                <a:alpha val="0"/>
              </a:srgbClr>
            </a:clrTo>
          </a:clrChange>
        </a:blip>
        <a:srcRect l="13290" r="74907"/>
        <a:stretch>
          <a:fillRect/>
        </a:stretch>
      </xdr:blipFill>
      <xdr:spPr bwMode="auto">
        <a:xfrm>
          <a:off x="213406" y="59427035"/>
          <a:ext cx="444241" cy="286871"/>
        </a:xfrm>
        <a:prstGeom prst="rect">
          <a:avLst/>
        </a:prstGeom>
        <a:noFill/>
      </xdr:spPr>
    </xdr:pic>
    <xdr:clientData/>
  </xdr:twoCellAnchor>
  <xdr:twoCellAnchor>
    <xdr:from>
      <xdr:col>1</xdr:col>
      <xdr:colOff>439271</xdr:colOff>
      <xdr:row>422</xdr:row>
      <xdr:rowOff>134872</xdr:rowOff>
    </xdr:from>
    <xdr:to>
      <xdr:col>1</xdr:col>
      <xdr:colOff>519953</xdr:colOff>
      <xdr:row>424</xdr:row>
      <xdr:rowOff>122817</xdr:rowOff>
    </xdr:to>
    <xdr:pic>
      <xdr:nvPicPr>
        <xdr:cNvPr id="67" name="Picture 7">
          <a:extLst>
            <a:ext uri="{FF2B5EF4-FFF2-40B4-BE49-F238E27FC236}">
              <a16:creationId xmlns:a16="http://schemas.microsoft.com/office/drawing/2014/main" id="{00000000-0008-0000-0900-000043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80565" y="85120284"/>
          <a:ext cx="80682" cy="382392"/>
        </a:xfrm>
        <a:prstGeom prst="rect">
          <a:avLst/>
        </a:prstGeom>
        <a:noFill/>
      </xdr:spPr>
    </xdr:pic>
    <xdr:clientData/>
  </xdr:twoCellAnchor>
  <xdr:twoCellAnchor>
    <xdr:from>
      <xdr:col>3</xdr:col>
      <xdr:colOff>295836</xdr:colOff>
      <xdr:row>422</xdr:row>
      <xdr:rowOff>161365</xdr:rowOff>
    </xdr:from>
    <xdr:to>
      <xdr:col>3</xdr:col>
      <xdr:colOff>538655</xdr:colOff>
      <xdr:row>424</xdr:row>
      <xdr:rowOff>146753</xdr:rowOff>
    </xdr:to>
    <xdr:pic>
      <xdr:nvPicPr>
        <xdr:cNvPr id="68" name="Picture 8">
          <a:extLst>
            <a:ext uri="{FF2B5EF4-FFF2-40B4-BE49-F238E27FC236}">
              <a16:creationId xmlns:a16="http://schemas.microsoft.com/office/drawing/2014/main" id="{00000000-0008-0000-0900-000044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09365" y="85155741"/>
          <a:ext cx="242819" cy="415694"/>
        </a:xfrm>
        <a:prstGeom prst="rect">
          <a:avLst/>
        </a:prstGeom>
        <a:noFill/>
      </xdr:spPr>
    </xdr:pic>
    <xdr:clientData/>
  </xdr:twoCellAnchor>
  <xdr:twoCellAnchor>
    <xdr:from>
      <xdr:col>5</xdr:col>
      <xdr:colOff>205740</xdr:colOff>
      <xdr:row>423</xdr:row>
      <xdr:rowOff>8964</xdr:rowOff>
    </xdr:from>
    <xdr:to>
      <xdr:col>5</xdr:col>
      <xdr:colOff>601980</xdr:colOff>
      <xdr:row>424</xdr:row>
      <xdr:rowOff>30480</xdr:rowOff>
    </xdr:to>
    <xdr:pic>
      <xdr:nvPicPr>
        <xdr:cNvPr id="69" name="Picture 2">
          <a:extLst>
            <a:ext uri="{FF2B5EF4-FFF2-40B4-BE49-F238E27FC236}">
              <a16:creationId xmlns:a16="http://schemas.microsoft.com/office/drawing/2014/main" id="{00000000-0008-0000-0900-000045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786705" y="84994376"/>
          <a:ext cx="396240" cy="218739"/>
        </a:xfrm>
        <a:prstGeom prst="rect">
          <a:avLst/>
        </a:prstGeom>
        <a:noFill/>
      </xdr:spPr>
    </xdr:pic>
    <xdr:clientData/>
  </xdr:twoCellAnchor>
  <xdr:twoCellAnchor>
    <xdr:from>
      <xdr:col>6</xdr:col>
      <xdr:colOff>129540</xdr:colOff>
      <xdr:row>423</xdr:row>
      <xdr:rowOff>35859</xdr:rowOff>
    </xdr:from>
    <xdr:to>
      <xdr:col>6</xdr:col>
      <xdr:colOff>525780</xdr:colOff>
      <xdr:row>424</xdr:row>
      <xdr:rowOff>15240</xdr:rowOff>
    </xdr:to>
    <xdr:pic>
      <xdr:nvPicPr>
        <xdr:cNvPr id="70" name="Picture 3">
          <a:extLst>
            <a:ext uri="{FF2B5EF4-FFF2-40B4-BE49-F238E27FC236}">
              <a16:creationId xmlns:a16="http://schemas.microsoft.com/office/drawing/2014/main" id="{00000000-0008-0000-0900-000046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17328" y="85021271"/>
          <a:ext cx="396240" cy="176604"/>
        </a:xfrm>
        <a:prstGeom prst="rect">
          <a:avLst/>
        </a:prstGeom>
        <a:noFill/>
      </xdr:spPr>
    </xdr:pic>
    <xdr:clientData/>
  </xdr:twoCellAnchor>
  <xdr:twoCellAnchor>
    <xdr:from>
      <xdr:col>7</xdr:col>
      <xdr:colOff>134470</xdr:colOff>
      <xdr:row>423</xdr:row>
      <xdr:rowOff>8964</xdr:rowOff>
    </xdr:from>
    <xdr:to>
      <xdr:col>7</xdr:col>
      <xdr:colOff>1163170</xdr:colOff>
      <xdr:row>424</xdr:row>
      <xdr:rowOff>30480</xdr:rowOff>
    </xdr:to>
    <xdr:pic>
      <xdr:nvPicPr>
        <xdr:cNvPr id="74" name="Picture 4">
          <a:extLst>
            <a:ext uri="{FF2B5EF4-FFF2-40B4-BE49-F238E27FC236}">
              <a16:creationId xmlns:a16="http://schemas.microsoft.com/office/drawing/2014/main" id="{00000000-0008-0000-0900-00004A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84994376"/>
          <a:ext cx="1028700" cy="218739"/>
        </a:xfrm>
        <a:prstGeom prst="rect">
          <a:avLst/>
        </a:prstGeom>
        <a:noFill/>
      </xdr:spPr>
    </xdr:pic>
    <xdr:clientData/>
  </xdr:twoCellAnchor>
  <xdr:twoCellAnchor>
    <xdr:from>
      <xdr:col>4</xdr:col>
      <xdr:colOff>28687</xdr:colOff>
      <xdr:row>423</xdr:row>
      <xdr:rowOff>53788</xdr:rowOff>
    </xdr:from>
    <xdr:to>
      <xdr:col>4</xdr:col>
      <xdr:colOff>622599</xdr:colOff>
      <xdr:row>424</xdr:row>
      <xdr:rowOff>21515</xdr:rowOff>
    </xdr:to>
    <xdr:pic>
      <xdr:nvPicPr>
        <xdr:cNvPr id="76" name="Picture 6">
          <a:extLst>
            <a:ext uri="{FF2B5EF4-FFF2-40B4-BE49-F238E27FC236}">
              <a16:creationId xmlns:a16="http://schemas.microsoft.com/office/drawing/2014/main" id="{00000000-0008-0000-0900-00004C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802828" y="85039200"/>
          <a:ext cx="593912" cy="164950"/>
        </a:xfrm>
        <a:prstGeom prst="rect">
          <a:avLst/>
        </a:prstGeom>
        <a:noFill/>
      </xdr:spPr>
    </xdr:pic>
    <xdr:clientData/>
  </xdr:twoCellAnchor>
  <xdr:twoCellAnchor>
    <xdr:from>
      <xdr:col>2</xdr:col>
      <xdr:colOff>198120</xdr:colOff>
      <xdr:row>423</xdr:row>
      <xdr:rowOff>44824</xdr:rowOff>
    </xdr:from>
    <xdr:to>
      <xdr:col>2</xdr:col>
      <xdr:colOff>784860</xdr:colOff>
      <xdr:row>424</xdr:row>
      <xdr:rowOff>8966</xdr:rowOff>
    </xdr:to>
    <xdr:pic>
      <xdr:nvPicPr>
        <xdr:cNvPr id="80" name="Picture 5">
          <a:extLst>
            <a:ext uri="{FF2B5EF4-FFF2-40B4-BE49-F238E27FC236}">
              <a16:creationId xmlns:a16="http://schemas.microsoft.com/office/drawing/2014/main" id="{00000000-0008-0000-0900-000050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25532" y="85227459"/>
          <a:ext cx="586740" cy="161366"/>
        </a:xfrm>
        <a:prstGeom prst="rect">
          <a:avLst/>
        </a:prstGeom>
        <a:noFill/>
      </xdr:spPr>
    </xdr:pic>
    <xdr:clientData/>
  </xdr:twoCellAnchor>
  <xdr:twoCellAnchor>
    <xdr:from>
      <xdr:col>0</xdr:col>
      <xdr:colOff>35859</xdr:colOff>
      <xdr:row>442</xdr:row>
      <xdr:rowOff>125506</xdr:rowOff>
    </xdr:from>
    <xdr:to>
      <xdr:col>2</xdr:col>
      <xdr:colOff>851199</xdr:colOff>
      <xdr:row>444</xdr:row>
      <xdr:rowOff>155986</xdr:rowOff>
    </xdr:to>
    <xdr:pic>
      <xdr:nvPicPr>
        <xdr:cNvPr id="2" name="Picture 2">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88266494"/>
          <a:ext cx="2679999" cy="424927"/>
        </a:xfrm>
        <a:prstGeom prst="rect">
          <a:avLst/>
        </a:prstGeom>
        <a:noFill/>
      </xdr:spPr>
    </xdr:pic>
    <xdr:clientData/>
  </xdr:twoCellAnchor>
  <xdr:twoCellAnchor>
    <xdr:from>
      <xdr:col>0</xdr:col>
      <xdr:colOff>89647</xdr:colOff>
      <xdr:row>446</xdr:row>
      <xdr:rowOff>8965</xdr:rowOff>
    </xdr:from>
    <xdr:to>
      <xdr:col>0</xdr:col>
      <xdr:colOff>851647</xdr:colOff>
      <xdr:row>448</xdr:row>
      <xdr:rowOff>16585</xdr:rowOff>
    </xdr:to>
    <xdr:pic>
      <xdr:nvPicPr>
        <xdr:cNvPr id="2049" name="Picture 1">
          <a:extLst>
            <a:ext uri="{FF2B5EF4-FFF2-40B4-BE49-F238E27FC236}">
              <a16:creationId xmlns:a16="http://schemas.microsoft.com/office/drawing/2014/main" id="{00000000-0008-0000-0900-00000108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88938847"/>
          <a:ext cx="762000" cy="204844"/>
        </a:xfrm>
        <a:prstGeom prst="rect">
          <a:avLst/>
        </a:prstGeom>
        <a:noFill/>
      </xdr:spPr>
    </xdr:pic>
    <xdr:clientData/>
  </xdr:twoCellAnchor>
  <xdr:twoCellAnchor>
    <xdr:from>
      <xdr:col>0</xdr:col>
      <xdr:colOff>0</xdr:colOff>
      <xdr:row>449</xdr:row>
      <xdr:rowOff>0</xdr:rowOff>
    </xdr:from>
    <xdr:to>
      <xdr:col>1</xdr:col>
      <xdr:colOff>243840</xdr:colOff>
      <xdr:row>450</xdr:row>
      <xdr:rowOff>7620</xdr:rowOff>
    </xdr:to>
    <xdr:pic>
      <xdr:nvPicPr>
        <xdr:cNvPr id="9" name="Picture 3">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89603580"/>
          <a:ext cx="1181100" cy="205740"/>
        </a:xfrm>
        <a:prstGeom prst="rect">
          <a:avLst/>
        </a:prstGeom>
        <a:noFill/>
      </xdr:spPr>
    </xdr:pic>
    <xdr:clientData/>
  </xdr:twoCellAnchor>
  <xdr:twoCellAnchor>
    <xdr:from>
      <xdr:col>1</xdr:col>
      <xdr:colOff>408342</xdr:colOff>
      <xdr:row>486</xdr:row>
      <xdr:rowOff>231738</xdr:rowOff>
    </xdr:from>
    <xdr:to>
      <xdr:col>1</xdr:col>
      <xdr:colOff>537882</xdr:colOff>
      <xdr:row>488</xdr:row>
      <xdr:rowOff>6276</xdr:rowOff>
    </xdr:to>
    <xdr:pic>
      <xdr:nvPicPr>
        <xdr:cNvPr id="87" name="Picture 7">
          <a:extLst>
            <a:ext uri="{FF2B5EF4-FFF2-40B4-BE49-F238E27FC236}">
              <a16:creationId xmlns:a16="http://schemas.microsoft.com/office/drawing/2014/main" id="{00000000-0008-0000-0900-000057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49636" y="97095385"/>
          <a:ext cx="129540" cy="204844"/>
        </a:xfrm>
        <a:prstGeom prst="rect">
          <a:avLst/>
        </a:prstGeom>
        <a:noFill/>
      </xdr:spPr>
    </xdr:pic>
    <xdr:clientData/>
  </xdr:twoCellAnchor>
  <xdr:twoCellAnchor>
    <xdr:from>
      <xdr:col>3</xdr:col>
      <xdr:colOff>395343</xdr:colOff>
      <xdr:row>486</xdr:row>
      <xdr:rowOff>231737</xdr:rowOff>
    </xdr:from>
    <xdr:to>
      <xdr:col>3</xdr:col>
      <xdr:colOff>524883</xdr:colOff>
      <xdr:row>488</xdr:row>
      <xdr:rowOff>6275</xdr:rowOff>
    </xdr:to>
    <xdr:pic>
      <xdr:nvPicPr>
        <xdr:cNvPr id="88" name="Picture 8">
          <a:extLst>
            <a:ext uri="{FF2B5EF4-FFF2-40B4-BE49-F238E27FC236}">
              <a16:creationId xmlns:a16="http://schemas.microsoft.com/office/drawing/2014/main" id="{00000000-0008-0000-0900-000058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46119" y="97095384"/>
          <a:ext cx="129540" cy="204844"/>
        </a:xfrm>
        <a:prstGeom prst="rect">
          <a:avLst/>
        </a:prstGeom>
        <a:noFill/>
      </xdr:spPr>
    </xdr:pic>
    <xdr:clientData/>
  </xdr:twoCellAnchor>
  <xdr:twoCellAnchor>
    <xdr:from>
      <xdr:col>5</xdr:col>
      <xdr:colOff>116092</xdr:colOff>
      <xdr:row>487</xdr:row>
      <xdr:rowOff>31825</xdr:rowOff>
    </xdr:from>
    <xdr:to>
      <xdr:col>5</xdr:col>
      <xdr:colOff>512332</xdr:colOff>
      <xdr:row>488</xdr:row>
      <xdr:rowOff>39445</xdr:rowOff>
    </xdr:to>
    <xdr:pic>
      <xdr:nvPicPr>
        <xdr:cNvPr id="89" name="Picture 2">
          <a:extLst>
            <a:ext uri="{FF2B5EF4-FFF2-40B4-BE49-F238E27FC236}">
              <a16:creationId xmlns:a16="http://schemas.microsoft.com/office/drawing/2014/main" id="{00000000-0008-0000-0900-000059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463974" y="97128554"/>
          <a:ext cx="396240" cy="204844"/>
        </a:xfrm>
        <a:prstGeom prst="rect">
          <a:avLst/>
        </a:prstGeom>
        <a:noFill/>
      </xdr:spPr>
    </xdr:pic>
    <xdr:clientData/>
  </xdr:twoCellAnchor>
  <xdr:twoCellAnchor>
    <xdr:from>
      <xdr:col>6</xdr:col>
      <xdr:colOff>156435</xdr:colOff>
      <xdr:row>487</xdr:row>
      <xdr:rowOff>34514</xdr:rowOff>
    </xdr:from>
    <xdr:to>
      <xdr:col>6</xdr:col>
      <xdr:colOff>552675</xdr:colOff>
      <xdr:row>488</xdr:row>
      <xdr:rowOff>42134</xdr:rowOff>
    </xdr:to>
    <xdr:pic>
      <xdr:nvPicPr>
        <xdr:cNvPr id="90" name="Picture 3">
          <a:extLst>
            <a:ext uri="{FF2B5EF4-FFF2-40B4-BE49-F238E27FC236}">
              <a16:creationId xmlns:a16="http://schemas.microsoft.com/office/drawing/2014/main" id="{00000000-0008-0000-0900-00005A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311141" y="97131243"/>
          <a:ext cx="396240" cy="204844"/>
        </a:xfrm>
        <a:prstGeom prst="rect">
          <a:avLst/>
        </a:prstGeom>
        <a:noFill/>
      </xdr:spPr>
    </xdr:pic>
    <xdr:clientData/>
  </xdr:twoCellAnchor>
  <xdr:twoCellAnchor>
    <xdr:from>
      <xdr:col>7</xdr:col>
      <xdr:colOff>134470</xdr:colOff>
      <xdr:row>487</xdr:row>
      <xdr:rowOff>22860</xdr:rowOff>
    </xdr:from>
    <xdr:to>
      <xdr:col>7</xdr:col>
      <xdr:colOff>1163170</xdr:colOff>
      <xdr:row>488</xdr:row>
      <xdr:rowOff>30480</xdr:rowOff>
    </xdr:to>
    <xdr:pic>
      <xdr:nvPicPr>
        <xdr:cNvPr id="91" name="Picture 4">
          <a:extLst>
            <a:ext uri="{FF2B5EF4-FFF2-40B4-BE49-F238E27FC236}">
              <a16:creationId xmlns:a16="http://schemas.microsoft.com/office/drawing/2014/main" id="{00000000-0008-0000-0900-00005B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5262282" y="84219378"/>
          <a:ext cx="1028700" cy="204843"/>
        </a:xfrm>
        <a:prstGeom prst="rect">
          <a:avLst/>
        </a:prstGeom>
        <a:noFill/>
      </xdr:spPr>
    </xdr:pic>
    <xdr:clientData/>
  </xdr:twoCellAnchor>
  <xdr:twoCellAnchor>
    <xdr:from>
      <xdr:col>3</xdr:col>
      <xdr:colOff>853440</xdr:colOff>
      <xdr:row>487</xdr:row>
      <xdr:rowOff>37587</xdr:rowOff>
    </xdr:from>
    <xdr:to>
      <xdr:col>4</xdr:col>
      <xdr:colOff>586740</xdr:colOff>
      <xdr:row>488</xdr:row>
      <xdr:rowOff>45207</xdr:rowOff>
    </xdr:to>
    <xdr:pic>
      <xdr:nvPicPr>
        <xdr:cNvPr id="92" name="Picture 6">
          <a:extLst>
            <a:ext uri="{FF2B5EF4-FFF2-40B4-BE49-F238E27FC236}">
              <a16:creationId xmlns:a16="http://schemas.microsoft.com/office/drawing/2014/main" id="{00000000-0008-0000-0900-00005C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901440" y="97671558"/>
          <a:ext cx="593271" cy="203563"/>
        </a:xfrm>
        <a:prstGeom prst="rect">
          <a:avLst/>
        </a:prstGeom>
        <a:noFill/>
      </xdr:spPr>
    </xdr:pic>
    <xdr:clientData/>
  </xdr:twoCellAnchor>
  <xdr:twoCellAnchor>
    <xdr:from>
      <xdr:col>2</xdr:col>
      <xdr:colOff>233979</xdr:colOff>
      <xdr:row>487</xdr:row>
      <xdr:rowOff>15241</xdr:rowOff>
    </xdr:from>
    <xdr:to>
      <xdr:col>2</xdr:col>
      <xdr:colOff>820719</xdr:colOff>
      <xdr:row>488</xdr:row>
      <xdr:rowOff>22861</xdr:rowOff>
    </xdr:to>
    <xdr:pic>
      <xdr:nvPicPr>
        <xdr:cNvPr id="93" name="Picture 5">
          <a:extLst>
            <a:ext uri="{FF2B5EF4-FFF2-40B4-BE49-F238E27FC236}">
              <a16:creationId xmlns:a16="http://schemas.microsoft.com/office/drawing/2014/main" id="{00000000-0008-0000-0900-00005D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98638" y="97111970"/>
          <a:ext cx="586740" cy="204844"/>
        </a:xfrm>
        <a:prstGeom prst="rect">
          <a:avLst/>
        </a:prstGeom>
        <a:noFill/>
      </xdr:spPr>
    </xdr:pic>
    <xdr:clientData/>
  </xdr:twoCellAnchor>
  <xdr:twoCellAnchor>
    <xdr:from>
      <xdr:col>0</xdr:col>
      <xdr:colOff>35859</xdr:colOff>
      <xdr:row>504</xdr:row>
      <xdr:rowOff>125506</xdr:rowOff>
    </xdr:from>
    <xdr:to>
      <xdr:col>2</xdr:col>
      <xdr:colOff>851199</xdr:colOff>
      <xdr:row>506</xdr:row>
      <xdr:rowOff>155986</xdr:rowOff>
    </xdr:to>
    <xdr:pic>
      <xdr:nvPicPr>
        <xdr:cNvPr id="94" name="Picture 2">
          <a:extLst>
            <a:ext uri="{FF2B5EF4-FFF2-40B4-BE49-F238E27FC236}">
              <a16:creationId xmlns:a16="http://schemas.microsoft.com/office/drawing/2014/main" id="{00000000-0008-0000-0900-00005E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88266494"/>
          <a:ext cx="2679999" cy="424927"/>
        </a:xfrm>
        <a:prstGeom prst="rect">
          <a:avLst/>
        </a:prstGeom>
        <a:noFill/>
      </xdr:spPr>
    </xdr:pic>
    <xdr:clientData/>
  </xdr:twoCellAnchor>
  <xdr:twoCellAnchor>
    <xdr:from>
      <xdr:col>0</xdr:col>
      <xdr:colOff>89647</xdr:colOff>
      <xdr:row>508</xdr:row>
      <xdr:rowOff>35859</xdr:rowOff>
    </xdr:from>
    <xdr:to>
      <xdr:col>0</xdr:col>
      <xdr:colOff>851647</xdr:colOff>
      <xdr:row>509</xdr:row>
      <xdr:rowOff>43479</xdr:rowOff>
    </xdr:to>
    <xdr:pic>
      <xdr:nvPicPr>
        <xdr:cNvPr id="95" name="Picture 1">
          <a:extLst>
            <a:ext uri="{FF2B5EF4-FFF2-40B4-BE49-F238E27FC236}">
              <a16:creationId xmlns:a16="http://schemas.microsoft.com/office/drawing/2014/main" id="{00000000-0008-0000-0900-00005F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01471506"/>
          <a:ext cx="762000" cy="204844"/>
        </a:xfrm>
        <a:prstGeom prst="rect">
          <a:avLst/>
        </a:prstGeom>
        <a:noFill/>
      </xdr:spPr>
    </xdr:pic>
    <xdr:clientData/>
  </xdr:twoCellAnchor>
  <xdr:twoCellAnchor>
    <xdr:from>
      <xdr:col>0</xdr:col>
      <xdr:colOff>0</xdr:colOff>
      <xdr:row>511</xdr:row>
      <xdr:rowOff>0</xdr:rowOff>
    </xdr:from>
    <xdr:to>
      <xdr:col>1</xdr:col>
      <xdr:colOff>243840</xdr:colOff>
      <xdr:row>512</xdr:row>
      <xdr:rowOff>7620</xdr:rowOff>
    </xdr:to>
    <xdr:pic>
      <xdr:nvPicPr>
        <xdr:cNvPr id="96" name="Picture 3">
          <a:extLst>
            <a:ext uri="{FF2B5EF4-FFF2-40B4-BE49-F238E27FC236}">
              <a16:creationId xmlns:a16="http://schemas.microsoft.com/office/drawing/2014/main" id="{00000000-0008-0000-0900-000060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89521553"/>
          <a:ext cx="1185134" cy="240702"/>
        </a:xfrm>
        <a:prstGeom prst="rect">
          <a:avLst/>
        </a:prstGeom>
        <a:noFill/>
      </xdr:spPr>
    </xdr:pic>
    <xdr:clientData/>
  </xdr:twoCellAnchor>
  <xdr:twoCellAnchor>
    <xdr:from>
      <xdr:col>1</xdr:col>
      <xdr:colOff>408342</xdr:colOff>
      <xdr:row>557</xdr:row>
      <xdr:rowOff>231738</xdr:rowOff>
    </xdr:from>
    <xdr:to>
      <xdr:col>1</xdr:col>
      <xdr:colOff>537882</xdr:colOff>
      <xdr:row>559</xdr:row>
      <xdr:rowOff>6276</xdr:rowOff>
    </xdr:to>
    <xdr:pic>
      <xdr:nvPicPr>
        <xdr:cNvPr id="238" name="Picture 7">
          <a:extLst>
            <a:ext uri="{FF2B5EF4-FFF2-40B4-BE49-F238E27FC236}">
              <a16:creationId xmlns:a16="http://schemas.microsoft.com/office/drawing/2014/main" id="{00000000-0008-0000-0900-0000EE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49636" y="97095385"/>
          <a:ext cx="129540" cy="204844"/>
        </a:xfrm>
        <a:prstGeom prst="rect">
          <a:avLst/>
        </a:prstGeom>
        <a:noFill/>
      </xdr:spPr>
    </xdr:pic>
    <xdr:clientData/>
  </xdr:twoCellAnchor>
  <xdr:twoCellAnchor>
    <xdr:from>
      <xdr:col>3</xdr:col>
      <xdr:colOff>395343</xdr:colOff>
      <xdr:row>557</xdr:row>
      <xdr:rowOff>231737</xdr:rowOff>
    </xdr:from>
    <xdr:to>
      <xdr:col>3</xdr:col>
      <xdr:colOff>524883</xdr:colOff>
      <xdr:row>559</xdr:row>
      <xdr:rowOff>6275</xdr:rowOff>
    </xdr:to>
    <xdr:pic>
      <xdr:nvPicPr>
        <xdr:cNvPr id="239" name="Picture 8">
          <a:extLst>
            <a:ext uri="{FF2B5EF4-FFF2-40B4-BE49-F238E27FC236}">
              <a16:creationId xmlns:a16="http://schemas.microsoft.com/office/drawing/2014/main" id="{00000000-0008-0000-0900-0000EF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46119" y="97095384"/>
          <a:ext cx="129540" cy="204844"/>
        </a:xfrm>
        <a:prstGeom prst="rect">
          <a:avLst/>
        </a:prstGeom>
        <a:noFill/>
      </xdr:spPr>
    </xdr:pic>
    <xdr:clientData/>
  </xdr:twoCellAnchor>
  <xdr:twoCellAnchor>
    <xdr:from>
      <xdr:col>5</xdr:col>
      <xdr:colOff>232633</xdr:colOff>
      <xdr:row>558</xdr:row>
      <xdr:rowOff>13895</xdr:rowOff>
    </xdr:from>
    <xdr:to>
      <xdr:col>5</xdr:col>
      <xdr:colOff>628873</xdr:colOff>
      <xdr:row>559</xdr:row>
      <xdr:rowOff>21515</xdr:rowOff>
    </xdr:to>
    <xdr:pic>
      <xdr:nvPicPr>
        <xdr:cNvPr id="240" name="Picture 2">
          <a:extLst>
            <a:ext uri="{FF2B5EF4-FFF2-40B4-BE49-F238E27FC236}">
              <a16:creationId xmlns:a16="http://schemas.microsoft.com/office/drawing/2014/main" id="{00000000-0008-0000-0900-0000F0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580515" y="111355542"/>
          <a:ext cx="396240" cy="204844"/>
        </a:xfrm>
        <a:prstGeom prst="rect">
          <a:avLst/>
        </a:prstGeom>
        <a:noFill/>
      </xdr:spPr>
    </xdr:pic>
    <xdr:clientData/>
  </xdr:twoCellAnchor>
  <xdr:twoCellAnchor>
    <xdr:from>
      <xdr:col>6</xdr:col>
      <xdr:colOff>147471</xdr:colOff>
      <xdr:row>557</xdr:row>
      <xdr:rowOff>231737</xdr:rowOff>
    </xdr:from>
    <xdr:to>
      <xdr:col>6</xdr:col>
      <xdr:colOff>543711</xdr:colOff>
      <xdr:row>559</xdr:row>
      <xdr:rowOff>6275</xdr:rowOff>
    </xdr:to>
    <xdr:pic>
      <xdr:nvPicPr>
        <xdr:cNvPr id="241" name="Picture 3">
          <a:extLst>
            <a:ext uri="{FF2B5EF4-FFF2-40B4-BE49-F238E27FC236}">
              <a16:creationId xmlns:a16="http://schemas.microsoft.com/office/drawing/2014/main" id="{00000000-0008-0000-0900-0000F1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302177" y="111340302"/>
          <a:ext cx="396240" cy="204844"/>
        </a:xfrm>
        <a:prstGeom prst="rect">
          <a:avLst/>
        </a:prstGeom>
        <a:noFill/>
      </xdr:spPr>
    </xdr:pic>
    <xdr:clientData/>
  </xdr:twoCellAnchor>
  <xdr:twoCellAnchor>
    <xdr:from>
      <xdr:col>7</xdr:col>
      <xdr:colOff>134470</xdr:colOff>
      <xdr:row>558</xdr:row>
      <xdr:rowOff>22860</xdr:rowOff>
    </xdr:from>
    <xdr:to>
      <xdr:col>7</xdr:col>
      <xdr:colOff>1163170</xdr:colOff>
      <xdr:row>559</xdr:row>
      <xdr:rowOff>30480</xdr:rowOff>
    </xdr:to>
    <xdr:pic>
      <xdr:nvPicPr>
        <xdr:cNvPr id="242" name="Picture 4">
          <a:extLst>
            <a:ext uri="{FF2B5EF4-FFF2-40B4-BE49-F238E27FC236}">
              <a16:creationId xmlns:a16="http://schemas.microsoft.com/office/drawing/2014/main" id="{00000000-0008-0000-0900-0000F2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006352" y="97119589"/>
          <a:ext cx="1028700" cy="204844"/>
        </a:xfrm>
        <a:prstGeom prst="rect">
          <a:avLst/>
        </a:prstGeom>
        <a:noFill/>
      </xdr:spPr>
    </xdr:pic>
    <xdr:clientData/>
  </xdr:twoCellAnchor>
  <xdr:twoCellAnchor>
    <xdr:from>
      <xdr:col>4</xdr:col>
      <xdr:colOff>28687</xdr:colOff>
      <xdr:row>558</xdr:row>
      <xdr:rowOff>4931</xdr:rowOff>
    </xdr:from>
    <xdr:to>
      <xdr:col>4</xdr:col>
      <xdr:colOff>622599</xdr:colOff>
      <xdr:row>559</xdr:row>
      <xdr:rowOff>12551</xdr:rowOff>
    </xdr:to>
    <xdr:pic>
      <xdr:nvPicPr>
        <xdr:cNvPr id="243" name="Picture 6">
          <a:extLst>
            <a:ext uri="{FF2B5EF4-FFF2-40B4-BE49-F238E27FC236}">
              <a16:creationId xmlns:a16="http://schemas.microsoft.com/office/drawing/2014/main" id="{00000000-0008-0000-0900-0000F3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740075" y="111346578"/>
          <a:ext cx="593912" cy="204844"/>
        </a:xfrm>
        <a:prstGeom prst="rect">
          <a:avLst/>
        </a:prstGeom>
        <a:noFill/>
      </xdr:spPr>
    </xdr:pic>
    <xdr:clientData/>
  </xdr:twoCellAnchor>
  <xdr:twoCellAnchor>
    <xdr:from>
      <xdr:col>2</xdr:col>
      <xdr:colOff>180190</xdr:colOff>
      <xdr:row>558</xdr:row>
      <xdr:rowOff>15241</xdr:rowOff>
    </xdr:from>
    <xdr:to>
      <xdr:col>2</xdr:col>
      <xdr:colOff>766930</xdr:colOff>
      <xdr:row>559</xdr:row>
      <xdr:rowOff>22861</xdr:rowOff>
    </xdr:to>
    <xdr:pic>
      <xdr:nvPicPr>
        <xdr:cNvPr id="244" name="Picture 5">
          <a:extLst>
            <a:ext uri="{FF2B5EF4-FFF2-40B4-BE49-F238E27FC236}">
              <a16:creationId xmlns:a16="http://schemas.microsoft.com/office/drawing/2014/main" id="{00000000-0008-0000-0900-0000F4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44849" y="111356888"/>
          <a:ext cx="586740" cy="204844"/>
        </a:xfrm>
        <a:prstGeom prst="rect">
          <a:avLst/>
        </a:prstGeom>
        <a:noFill/>
      </xdr:spPr>
    </xdr:pic>
    <xdr:clientData/>
  </xdr:twoCellAnchor>
  <xdr:twoCellAnchor>
    <xdr:from>
      <xdr:col>0</xdr:col>
      <xdr:colOff>35859</xdr:colOff>
      <xdr:row>572</xdr:row>
      <xdr:rowOff>125506</xdr:rowOff>
    </xdr:from>
    <xdr:to>
      <xdr:col>2</xdr:col>
      <xdr:colOff>851199</xdr:colOff>
      <xdr:row>574</xdr:row>
      <xdr:rowOff>155986</xdr:rowOff>
    </xdr:to>
    <xdr:pic>
      <xdr:nvPicPr>
        <xdr:cNvPr id="245" name="Picture 2">
          <a:extLst>
            <a:ext uri="{FF2B5EF4-FFF2-40B4-BE49-F238E27FC236}">
              <a16:creationId xmlns:a16="http://schemas.microsoft.com/office/drawing/2014/main" id="{00000000-0008-0000-0900-0000F5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100772259"/>
          <a:ext cx="2679999" cy="424927"/>
        </a:xfrm>
        <a:prstGeom prst="rect">
          <a:avLst/>
        </a:prstGeom>
        <a:noFill/>
      </xdr:spPr>
    </xdr:pic>
    <xdr:clientData/>
  </xdr:twoCellAnchor>
  <xdr:twoCellAnchor>
    <xdr:from>
      <xdr:col>0</xdr:col>
      <xdr:colOff>89647</xdr:colOff>
      <xdr:row>576</xdr:row>
      <xdr:rowOff>35859</xdr:rowOff>
    </xdr:from>
    <xdr:to>
      <xdr:col>0</xdr:col>
      <xdr:colOff>851647</xdr:colOff>
      <xdr:row>577</xdr:row>
      <xdr:rowOff>43479</xdr:rowOff>
    </xdr:to>
    <xdr:pic>
      <xdr:nvPicPr>
        <xdr:cNvPr id="246" name="Picture 1">
          <a:extLst>
            <a:ext uri="{FF2B5EF4-FFF2-40B4-BE49-F238E27FC236}">
              <a16:creationId xmlns:a16="http://schemas.microsoft.com/office/drawing/2014/main" id="{00000000-0008-0000-0900-0000F6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01471506"/>
          <a:ext cx="762000" cy="204844"/>
        </a:xfrm>
        <a:prstGeom prst="rect">
          <a:avLst/>
        </a:prstGeom>
        <a:noFill/>
      </xdr:spPr>
    </xdr:pic>
    <xdr:clientData/>
  </xdr:twoCellAnchor>
  <xdr:twoCellAnchor>
    <xdr:from>
      <xdr:col>0</xdr:col>
      <xdr:colOff>0</xdr:colOff>
      <xdr:row>579</xdr:row>
      <xdr:rowOff>0</xdr:rowOff>
    </xdr:from>
    <xdr:to>
      <xdr:col>1</xdr:col>
      <xdr:colOff>243840</xdr:colOff>
      <xdr:row>580</xdr:row>
      <xdr:rowOff>7620</xdr:rowOff>
    </xdr:to>
    <xdr:pic>
      <xdr:nvPicPr>
        <xdr:cNvPr id="247" name="Picture 3">
          <a:extLst>
            <a:ext uri="{FF2B5EF4-FFF2-40B4-BE49-F238E27FC236}">
              <a16:creationId xmlns:a16="http://schemas.microsoft.com/office/drawing/2014/main" id="{00000000-0008-0000-0900-0000F7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102027318"/>
          <a:ext cx="1185134" cy="204843"/>
        </a:xfrm>
        <a:prstGeom prst="rect">
          <a:avLst/>
        </a:prstGeom>
        <a:noFill/>
      </xdr:spPr>
    </xdr:pic>
    <xdr:clientData/>
  </xdr:twoCellAnchor>
  <xdr:twoCellAnchor>
    <xdr:from>
      <xdr:col>1</xdr:col>
      <xdr:colOff>327660</xdr:colOff>
      <xdr:row>810</xdr:row>
      <xdr:rowOff>7620</xdr:rowOff>
    </xdr:from>
    <xdr:to>
      <xdr:col>1</xdr:col>
      <xdr:colOff>457200</xdr:colOff>
      <xdr:row>811</xdr:row>
      <xdr:rowOff>15240</xdr:rowOff>
    </xdr:to>
    <xdr:pic>
      <xdr:nvPicPr>
        <xdr:cNvPr id="277" name="Picture 7">
          <a:extLst>
            <a:ext uri="{FF2B5EF4-FFF2-40B4-BE49-F238E27FC236}">
              <a16:creationId xmlns:a16="http://schemas.microsoft.com/office/drawing/2014/main" id="{00000000-0008-0000-0900-00001501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84204138"/>
          <a:ext cx="129540" cy="204843"/>
        </a:xfrm>
        <a:prstGeom prst="rect">
          <a:avLst/>
        </a:prstGeom>
        <a:noFill/>
      </xdr:spPr>
    </xdr:pic>
    <xdr:clientData/>
  </xdr:twoCellAnchor>
  <xdr:twoCellAnchor>
    <xdr:from>
      <xdr:col>3</xdr:col>
      <xdr:colOff>350520</xdr:colOff>
      <xdr:row>810</xdr:row>
      <xdr:rowOff>7620</xdr:rowOff>
    </xdr:from>
    <xdr:to>
      <xdr:col>3</xdr:col>
      <xdr:colOff>480060</xdr:colOff>
      <xdr:row>811</xdr:row>
      <xdr:rowOff>15240</xdr:rowOff>
    </xdr:to>
    <xdr:pic>
      <xdr:nvPicPr>
        <xdr:cNvPr id="278" name="Picture 8">
          <a:extLst>
            <a:ext uri="{FF2B5EF4-FFF2-40B4-BE49-F238E27FC236}">
              <a16:creationId xmlns:a16="http://schemas.microsoft.com/office/drawing/2014/main" id="{00000000-0008-0000-0900-00001601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01296" y="84204138"/>
          <a:ext cx="129540" cy="204843"/>
        </a:xfrm>
        <a:prstGeom prst="rect">
          <a:avLst/>
        </a:prstGeom>
        <a:noFill/>
      </xdr:spPr>
    </xdr:pic>
    <xdr:clientData/>
  </xdr:twoCellAnchor>
  <xdr:twoCellAnchor>
    <xdr:from>
      <xdr:col>5</xdr:col>
      <xdr:colOff>205740</xdr:colOff>
      <xdr:row>810</xdr:row>
      <xdr:rowOff>22860</xdr:rowOff>
    </xdr:from>
    <xdr:to>
      <xdr:col>5</xdr:col>
      <xdr:colOff>601980</xdr:colOff>
      <xdr:row>811</xdr:row>
      <xdr:rowOff>30480</xdr:rowOff>
    </xdr:to>
    <xdr:pic>
      <xdr:nvPicPr>
        <xdr:cNvPr id="279" name="Picture 2">
          <a:extLst>
            <a:ext uri="{FF2B5EF4-FFF2-40B4-BE49-F238E27FC236}">
              <a16:creationId xmlns:a16="http://schemas.microsoft.com/office/drawing/2014/main" id="{00000000-0008-0000-0900-00001701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553622" y="84219378"/>
          <a:ext cx="396240" cy="204843"/>
        </a:xfrm>
        <a:prstGeom prst="rect">
          <a:avLst/>
        </a:prstGeom>
        <a:noFill/>
      </xdr:spPr>
    </xdr:pic>
    <xdr:clientData/>
  </xdr:twoCellAnchor>
  <xdr:twoCellAnchor>
    <xdr:from>
      <xdr:col>6</xdr:col>
      <xdr:colOff>129540</xdr:colOff>
      <xdr:row>810</xdr:row>
      <xdr:rowOff>7620</xdr:rowOff>
    </xdr:from>
    <xdr:to>
      <xdr:col>6</xdr:col>
      <xdr:colOff>525780</xdr:colOff>
      <xdr:row>811</xdr:row>
      <xdr:rowOff>15240</xdr:rowOff>
    </xdr:to>
    <xdr:pic>
      <xdr:nvPicPr>
        <xdr:cNvPr id="280" name="Picture 3">
          <a:extLst>
            <a:ext uri="{FF2B5EF4-FFF2-40B4-BE49-F238E27FC236}">
              <a16:creationId xmlns:a16="http://schemas.microsoft.com/office/drawing/2014/main" id="{00000000-0008-0000-0900-0000180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284246" y="84204138"/>
          <a:ext cx="396240" cy="204843"/>
        </a:xfrm>
        <a:prstGeom prst="rect">
          <a:avLst/>
        </a:prstGeom>
        <a:noFill/>
      </xdr:spPr>
    </xdr:pic>
    <xdr:clientData/>
  </xdr:twoCellAnchor>
  <xdr:twoCellAnchor>
    <xdr:from>
      <xdr:col>7</xdr:col>
      <xdr:colOff>134470</xdr:colOff>
      <xdr:row>810</xdr:row>
      <xdr:rowOff>22860</xdr:rowOff>
    </xdr:from>
    <xdr:to>
      <xdr:col>7</xdr:col>
      <xdr:colOff>1163170</xdr:colOff>
      <xdr:row>811</xdr:row>
      <xdr:rowOff>30480</xdr:rowOff>
    </xdr:to>
    <xdr:pic>
      <xdr:nvPicPr>
        <xdr:cNvPr id="281" name="Picture 4">
          <a:extLst>
            <a:ext uri="{FF2B5EF4-FFF2-40B4-BE49-F238E27FC236}">
              <a16:creationId xmlns:a16="http://schemas.microsoft.com/office/drawing/2014/main" id="{00000000-0008-0000-0900-00001901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006352" y="84219378"/>
          <a:ext cx="1028700" cy="204843"/>
        </a:xfrm>
        <a:prstGeom prst="rect">
          <a:avLst/>
        </a:prstGeom>
        <a:noFill/>
      </xdr:spPr>
    </xdr:pic>
    <xdr:clientData/>
  </xdr:twoCellAnchor>
  <xdr:twoCellAnchor>
    <xdr:from>
      <xdr:col>4</xdr:col>
      <xdr:colOff>28687</xdr:colOff>
      <xdr:row>810</xdr:row>
      <xdr:rowOff>13895</xdr:rowOff>
    </xdr:from>
    <xdr:to>
      <xdr:col>4</xdr:col>
      <xdr:colOff>622599</xdr:colOff>
      <xdr:row>811</xdr:row>
      <xdr:rowOff>21515</xdr:rowOff>
    </xdr:to>
    <xdr:pic>
      <xdr:nvPicPr>
        <xdr:cNvPr id="282" name="Picture 6">
          <a:extLst>
            <a:ext uri="{FF2B5EF4-FFF2-40B4-BE49-F238E27FC236}">
              <a16:creationId xmlns:a16="http://schemas.microsoft.com/office/drawing/2014/main" id="{00000000-0008-0000-0900-00001A01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740075" y="84210413"/>
          <a:ext cx="593912" cy="204843"/>
        </a:xfrm>
        <a:prstGeom prst="rect">
          <a:avLst/>
        </a:prstGeom>
        <a:noFill/>
      </xdr:spPr>
    </xdr:pic>
    <xdr:clientData/>
  </xdr:twoCellAnchor>
  <xdr:twoCellAnchor>
    <xdr:from>
      <xdr:col>2</xdr:col>
      <xdr:colOff>198120</xdr:colOff>
      <xdr:row>810</xdr:row>
      <xdr:rowOff>15240</xdr:rowOff>
    </xdr:from>
    <xdr:to>
      <xdr:col>2</xdr:col>
      <xdr:colOff>784860</xdr:colOff>
      <xdr:row>811</xdr:row>
      <xdr:rowOff>22860</xdr:rowOff>
    </xdr:to>
    <xdr:pic>
      <xdr:nvPicPr>
        <xdr:cNvPr id="283" name="Picture 5">
          <a:extLst>
            <a:ext uri="{FF2B5EF4-FFF2-40B4-BE49-F238E27FC236}">
              <a16:creationId xmlns:a16="http://schemas.microsoft.com/office/drawing/2014/main" id="{00000000-0008-0000-0900-00001B01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62779" y="84211758"/>
          <a:ext cx="586740" cy="204843"/>
        </a:xfrm>
        <a:prstGeom prst="rect">
          <a:avLst/>
        </a:prstGeom>
        <a:noFill/>
      </xdr:spPr>
    </xdr:pic>
    <xdr:clientData/>
  </xdr:twoCellAnchor>
  <xdr:twoCellAnchor>
    <xdr:from>
      <xdr:col>0</xdr:col>
      <xdr:colOff>35859</xdr:colOff>
      <xdr:row>829</xdr:row>
      <xdr:rowOff>125506</xdr:rowOff>
    </xdr:from>
    <xdr:to>
      <xdr:col>2</xdr:col>
      <xdr:colOff>851199</xdr:colOff>
      <xdr:row>831</xdr:row>
      <xdr:rowOff>155986</xdr:rowOff>
    </xdr:to>
    <xdr:pic>
      <xdr:nvPicPr>
        <xdr:cNvPr id="284" name="Picture 2">
          <a:extLst>
            <a:ext uri="{FF2B5EF4-FFF2-40B4-BE49-F238E27FC236}">
              <a16:creationId xmlns:a16="http://schemas.microsoft.com/office/drawing/2014/main" id="{00000000-0008-0000-0900-00001C01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88266494"/>
          <a:ext cx="2679999" cy="424927"/>
        </a:xfrm>
        <a:prstGeom prst="rect">
          <a:avLst/>
        </a:prstGeom>
        <a:noFill/>
      </xdr:spPr>
    </xdr:pic>
    <xdr:clientData/>
  </xdr:twoCellAnchor>
  <xdr:twoCellAnchor>
    <xdr:from>
      <xdr:col>0</xdr:col>
      <xdr:colOff>89647</xdr:colOff>
      <xdr:row>833</xdr:row>
      <xdr:rowOff>8965</xdr:rowOff>
    </xdr:from>
    <xdr:to>
      <xdr:col>0</xdr:col>
      <xdr:colOff>851647</xdr:colOff>
      <xdr:row>835</xdr:row>
      <xdr:rowOff>16585</xdr:rowOff>
    </xdr:to>
    <xdr:pic>
      <xdr:nvPicPr>
        <xdr:cNvPr id="285" name="Picture 1">
          <a:extLst>
            <a:ext uri="{FF2B5EF4-FFF2-40B4-BE49-F238E27FC236}">
              <a16:creationId xmlns:a16="http://schemas.microsoft.com/office/drawing/2014/main" id="{00000000-0008-0000-0900-00001D01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88938847"/>
          <a:ext cx="762000" cy="402067"/>
        </a:xfrm>
        <a:prstGeom prst="rect">
          <a:avLst/>
        </a:prstGeom>
        <a:noFill/>
      </xdr:spPr>
    </xdr:pic>
    <xdr:clientData/>
  </xdr:twoCellAnchor>
  <xdr:twoCellAnchor>
    <xdr:from>
      <xdr:col>0</xdr:col>
      <xdr:colOff>0</xdr:colOff>
      <xdr:row>836</xdr:row>
      <xdr:rowOff>0</xdr:rowOff>
    </xdr:from>
    <xdr:to>
      <xdr:col>1</xdr:col>
      <xdr:colOff>243840</xdr:colOff>
      <xdr:row>837</xdr:row>
      <xdr:rowOff>7620</xdr:rowOff>
    </xdr:to>
    <xdr:pic>
      <xdr:nvPicPr>
        <xdr:cNvPr id="286" name="Picture 3">
          <a:extLst>
            <a:ext uri="{FF2B5EF4-FFF2-40B4-BE49-F238E27FC236}">
              <a16:creationId xmlns:a16="http://schemas.microsoft.com/office/drawing/2014/main" id="{00000000-0008-0000-0900-00001E01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89521553"/>
          <a:ext cx="1185134" cy="240702"/>
        </a:xfrm>
        <a:prstGeom prst="rect">
          <a:avLst/>
        </a:prstGeom>
        <a:noFill/>
      </xdr:spPr>
    </xdr:pic>
    <xdr:clientData/>
  </xdr:twoCellAnchor>
  <xdr:twoCellAnchor>
    <xdr:from>
      <xdr:col>0</xdr:col>
      <xdr:colOff>0</xdr:colOff>
      <xdr:row>839</xdr:row>
      <xdr:rowOff>62753</xdr:rowOff>
    </xdr:from>
    <xdr:to>
      <xdr:col>1</xdr:col>
      <xdr:colOff>533400</xdr:colOff>
      <xdr:row>841</xdr:row>
      <xdr:rowOff>62753</xdr:rowOff>
    </xdr:to>
    <xdr:pic>
      <xdr:nvPicPr>
        <xdr:cNvPr id="10" name="Picture 10">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0" y="167397953"/>
          <a:ext cx="1474694" cy="394447"/>
        </a:xfrm>
        <a:prstGeom prst="rect">
          <a:avLst/>
        </a:prstGeom>
        <a:noFill/>
      </xdr:spPr>
    </xdr:pic>
    <xdr:clientData/>
  </xdr:twoCellAnchor>
  <xdr:twoCellAnchor>
    <xdr:from>
      <xdr:col>0</xdr:col>
      <xdr:colOff>179294</xdr:colOff>
      <xdr:row>841</xdr:row>
      <xdr:rowOff>107576</xdr:rowOff>
    </xdr:from>
    <xdr:to>
      <xdr:col>1</xdr:col>
      <xdr:colOff>567914</xdr:colOff>
      <xdr:row>844</xdr:row>
      <xdr:rowOff>24652</xdr:rowOff>
    </xdr:to>
    <xdr:pic>
      <xdr:nvPicPr>
        <xdr:cNvPr id="2062" name="Picture 14">
          <a:extLst>
            <a:ext uri="{FF2B5EF4-FFF2-40B4-BE49-F238E27FC236}">
              <a16:creationId xmlns:a16="http://schemas.microsoft.com/office/drawing/2014/main" id="{00000000-0008-0000-0900-00000E08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179294" y="167837223"/>
          <a:ext cx="1329914" cy="508747"/>
        </a:xfrm>
        <a:prstGeom prst="rect">
          <a:avLst/>
        </a:prstGeom>
        <a:noFill/>
      </xdr:spPr>
    </xdr:pic>
    <xdr:clientData/>
  </xdr:twoCellAnchor>
  <xdr:twoCellAnchor>
    <xdr:from>
      <xdr:col>0</xdr:col>
      <xdr:colOff>161365</xdr:colOff>
      <xdr:row>844</xdr:row>
      <xdr:rowOff>89647</xdr:rowOff>
    </xdr:from>
    <xdr:to>
      <xdr:col>1</xdr:col>
      <xdr:colOff>549985</xdr:colOff>
      <xdr:row>847</xdr:row>
      <xdr:rowOff>15688</xdr:rowOff>
    </xdr:to>
    <xdr:pic>
      <xdr:nvPicPr>
        <xdr:cNvPr id="2061" name="Picture 13">
          <a:extLst>
            <a:ext uri="{FF2B5EF4-FFF2-40B4-BE49-F238E27FC236}">
              <a16:creationId xmlns:a16="http://schemas.microsoft.com/office/drawing/2014/main" id="{00000000-0008-0000-0900-00000D08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161365" y="168410965"/>
          <a:ext cx="1329914" cy="517711"/>
        </a:xfrm>
        <a:prstGeom prst="rect">
          <a:avLst/>
        </a:prstGeom>
        <a:noFill/>
      </xdr:spPr>
    </xdr:pic>
    <xdr:clientData/>
  </xdr:twoCellAnchor>
  <xdr:twoCellAnchor>
    <xdr:from>
      <xdr:col>0</xdr:col>
      <xdr:colOff>134470</xdr:colOff>
      <xdr:row>847</xdr:row>
      <xdr:rowOff>62753</xdr:rowOff>
    </xdr:from>
    <xdr:to>
      <xdr:col>1</xdr:col>
      <xdr:colOff>115196</xdr:colOff>
      <xdr:row>849</xdr:row>
      <xdr:rowOff>168089</xdr:rowOff>
    </xdr:to>
    <xdr:pic>
      <xdr:nvPicPr>
        <xdr:cNvPr id="2060" name="Picture 12">
          <a:extLst>
            <a:ext uri="{FF2B5EF4-FFF2-40B4-BE49-F238E27FC236}">
              <a16:creationId xmlns:a16="http://schemas.microsoft.com/office/drawing/2014/main" id="{00000000-0008-0000-0900-00000C08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134470" y="168975741"/>
          <a:ext cx="922020" cy="499783"/>
        </a:xfrm>
        <a:prstGeom prst="rect">
          <a:avLst/>
        </a:prstGeom>
        <a:noFill/>
      </xdr:spPr>
    </xdr:pic>
    <xdr:clientData/>
  </xdr:twoCellAnchor>
  <xdr:twoCellAnchor>
    <xdr:from>
      <xdr:col>0</xdr:col>
      <xdr:colOff>0</xdr:colOff>
      <xdr:row>850</xdr:row>
      <xdr:rowOff>8965</xdr:rowOff>
    </xdr:from>
    <xdr:to>
      <xdr:col>1</xdr:col>
      <xdr:colOff>601980</xdr:colOff>
      <xdr:row>851</xdr:row>
      <xdr:rowOff>160021</xdr:rowOff>
    </xdr:to>
    <xdr:pic>
      <xdr:nvPicPr>
        <xdr:cNvPr id="11" name="Picture 11">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24">
          <a:clrChange>
            <a:clrFrom>
              <a:srgbClr val="FFFFFF"/>
            </a:clrFrom>
            <a:clrTo>
              <a:srgbClr val="FFFFFF">
                <a:alpha val="0"/>
              </a:srgbClr>
            </a:clrTo>
          </a:clrChange>
        </a:blip>
        <a:srcRect/>
        <a:stretch>
          <a:fillRect/>
        </a:stretch>
      </xdr:blipFill>
      <xdr:spPr bwMode="auto">
        <a:xfrm>
          <a:off x="0" y="169513624"/>
          <a:ext cx="1543274" cy="348279"/>
        </a:xfrm>
        <a:prstGeom prst="rect">
          <a:avLst/>
        </a:prstGeom>
        <a:noFill/>
      </xdr:spPr>
    </xdr:pic>
    <xdr:clientData/>
  </xdr:twoCellAnchor>
  <xdr:twoCellAnchor>
    <xdr:from>
      <xdr:col>8</xdr:col>
      <xdr:colOff>448236</xdr:colOff>
      <xdr:row>810</xdr:row>
      <xdr:rowOff>8965</xdr:rowOff>
    </xdr:from>
    <xdr:to>
      <xdr:col>8</xdr:col>
      <xdr:colOff>577776</xdr:colOff>
      <xdr:row>811</xdr:row>
      <xdr:rowOff>16585</xdr:rowOff>
    </xdr:to>
    <xdr:pic>
      <xdr:nvPicPr>
        <xdr:cNvPr id="2063" name="Picture 15">
          <a:extLst>
            <a:ext uri="{FF2B5EF4-FFF2-40B4-BE49-F238E27FC236}">
              <a16:creationId xmlns:a16="http://schemas.microsoft.com/office/drawing/2014/main" id="{00000000-0008-0000-0900-00000F08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7620001" y="161391600"/>
          <a:ext cx="129540" cy="204844"/>
        </a:xfrm>
        <a:prstGeom prst="rect">
          <a:avLst/>
        </a:prstGeom>
        <a:noFill/>
      </xdr:spPr>
    </xdr:pic>
    <xdr:clientData/>
  </xdr:twoCellAnchor>
  <xdr:twoCellAnchor>
    <xdr:from>
      <xdr:col>9</xdr:col>
      <xdr:colOff>215152</xdr:colOff>
      <xdr:row>810</xdr:row>
      <xdr:rowOff>8965</xdr:rowOff>
    </xdr:from>
    <xdr:to>
      <xdr:col>9</xdr:col>
      <xdr:colOff>809512</xdr:colOff>
      <xdr:row>811</xdr:row>
      <xdr:rowOff>16585</xdr:rowOff>
    </xdr:to>
    <xdr:pic>
      <xdr:nvPicPr>
        <xdr:cNvPr id="2064" name="Picture 16">
          <a:extLst>
            <a:ext uri="{FF2B5EF4-FFF2-40B4-BE49-F238E27FC236}">
              <a16:creationId xmlns:a16="http://schemas.microsoft.com/office/drawing/2014/main" id="{00000000-0008-0000-0900-000010080000}"/>
            </a:ext>
          </a:extLst>
        </xdr:cNvPr>
        <xdr:cNvPicPr>
          <a:picLocks noChangeAspect="1" noChangeArrowheads="1"/>
        </xdr:cNvPicPr>
      </xdr:nvPicPr>
      <xdr:blipFill>
        <a:blip xmlns:r="http://schemas.openxmlformats.org/officeDocument/2006/relationships" r:embed="rId26">
          <a:clrChange>
            <a:clrFrom>
              <a:srgbClr val="FFFFFF"/>
            </a:clrFrom>
            <a:clrTo>
              <a:srgbClr val="FFFFFF">
                <a:alpha val="0"/>
              </a:srgbClr>
            </a:clrTo>
          </a:clrChange>
        </a:blip>
        <a:srcRect/>
        <a:stretch>
          <a:fillRect/>
        </a:stretch>
      </xdr:blipFill>
      <xdr:spPr bwMode="auto">
        <a:xfrm>
          <a:off x="8310281" y="161391600"/>
          <a:ext cx="594360" cy="204844"/>
        </a:xfrm>
        <a:prstGeom prst="rect">
          <a:avLst/>
        </a:prstGeom>
        <a:noFill/>
      </xdr:spPr>
    </xdr:pic>
    <xdr:clientData/>
  </xdr:twoCellAnchor>
  <xdr:twoCellAnchor>
    <xdr:from>
      <xdr:col>0</xdr:col>
      <xdr:colOff>26894</xdr:colOff>
      <xdr:row>852</xdr:row>
      <xdr:rowOff>35859</xdr:rowOff>
    </xdr:from>
    <xdr:to>
      <xdr:col>2</xdr:col>
      <xdr:colOff>49754</xdr:colOff>
      <xdr:row>854</xdr:row>
      <xdr:rowOff>180639</xdr:rowOff>
    </xdr:to>
    <xdr:pic>
      <xdr:nvPicPr>
        <xdr:cNvPr id="2065" name="Picture 17">
          <a:extLst>
            <a:ext uri="{FF2B5EF4-FFF2-40B4-BE49-F238E27FC236}">
              <a16:creationId xmlns:a16="http://schemas.microsoft.com/office/drawing/2014/main" id="{00000000-0008-0000-0900-000011080000}"/>
            </a:ext>
          </a:extLst>
        </xdr:cNvPr>
        <xdr:cNvPicPr>
          <a:picLocks noChangeAspect="1" noChangeArrowheads="1"/>
        </xdr:cNvPicPr>
      </xdr:nvPicPr>
      <xdr:blipFill>
        <a:blip xmlns:r="http://schemas.openxmlformats.org/officeDocument/2006/relationships" r:embed="rId27">
          <a:clrChange>
            <a:clrFrom>
              <a:srgbClr val="FFFFFF"/>
            </a:clrFrom>
            <a:clrTo>
              <a:srgbClr val="FFFFFF">
                <a:alpha val="0"/>
              </a:srgbClr>
            </a:clrTo>
          </a:clrChange>
        </a:blip>
        <a:srcRect/>
        <a:stretch>
          <a:fillRect/>
        </a:stretch>
      </xdr:blipFill>
      <xdr:spPr bwMode="auto">
        <a:xfrm>
          <a:off x="26894" y="169934965"/>
          <a:ext cx="1887519" cy="539227"/>
        </a:xfrm>
        <a:prstGeom prst="rect">
          <a:avLst/>
        </a:prstGeom>
        <a:noFill/>
      </xdr:spPr>
    </xdr:pic>
    <xdr:clientData/>
  </xdr:twoCellAnchor>
  <xdr:twoCellAnchor>
    <xdr:from>
      <xdr:col>2</xdr:col>
      <xdr:colOff>170330</xdr:colOff>
      <xdr:row>862</xdr:row>
      <xdr:rowOff>53786</xdr:rowOff>
    </xdr:from>
    <xdr:to>
      <xdr:col>4</xdr:col>
      <xdr:colOff>499783</xdr:colOff>
      <xdr:row>862</xdr:row>
      <xdr:rowOff>493059</xdr:rowOff>
    </xdr:to>
    <xdr:pic>
      <xdr:nvPicPr>
        <xdr:cNvPr id="2072" name="Picture 24">
          <a:extLst>
            <a:ext uri="{FF2B5EF4-FFF2-40B4-BE49-F238E27FC236}">
              <a16:creationId xmlns:a16="http://schemas.microsoft.com/office/drawing/2014/main" id="{00000000-0008-0000-0900-000018080000}"/>
            </a:ext>
          </a:extLst>
        </xdr:cNvPr>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blip>
        <a:srcRect/>
        <a:stretch>
          <a:fillRect/>
        </a:stretch>
      </xdr:blipFill>
      <xdr:spPr bwMode="auto">
        <a:xfrm>
          <a:off x="2034989" y="172041668"/>
          <a:ext cx="2176182" cy="439273"/>
        </a:xfrm>
        <a:prstGeom prst="rect">
          <a:avLst/>
        </a:prstGeom>
        <a:noFill/>
      </xdr:spPr>
    </xdr:pic>
    <xdr:clientData/>
  </xdr:twoCellAnchor>
  <xdr:twoCellAnchor>
    <xdr:from>
      <xdr:col>0</xdr:col>
      <xdr:colOff>8964</xdr:colOff>
      <xdr:row>862</xdr:row>
      <xdr:rowOff>98611</xdr:rowOff>
    </xdr:from>
    <xdr:to>
      <xdr:col>0</xdr:col>
      <xdr:colOff>299172</xdr:colOff>
      <xdr:row>862</xdr:row>
      <xdr:rowOff>313764</xdr:rowOff>
    </xdr:to>
    <xdr:pic>
      <xdr:nvPicPr>
        <xdr:cNvPr id="2071" name="Picture 23">
          <a:extLst>
            <a:ext uri="{FF2B5EF4-FFF2-40B4-BE49-F238E27FC236}">
              <a16:creationId xmlns:a16="http://schemas.microsoft.com/office/drawing/2014/main" id="{00000000-0008-0000-0900-000017080000}"/>
            </a:ext>
          </a:extLst>
        </xdr:cNvPr>
        <xdr:cNvPicPr>
          <a:picLocks noChangeAspect="1" noChangeArrowheads="1"/>
        </xdr:cNvPicPr>
      </xdr:nvPicPr>
      <xdr:blipFill>
        <a:blip xmlns:r="http://schemas.openxmlformats.org/officeDocument/2006/relationships" r:embed="rId29">
          <a:clrChange>
            <a:clrFrom>
              <a:srgbClr val="FFFFFF"/>
            </a:clrFrom>
            <a:clrTo>
              <a:srgbClr val="FFFFFF">
                <a:alpha val="0"/>
              </a:srgbClr>
            </a:clrTo>
          </a:clrChange>
        </a:blip>
        <a:srcRect/>
        <a:stretch>
          <a:fillRect/>
        </a:stretch>
      </xdr:blipFill>
      <xdr:spPr bwMode="auto">
        <a:xfrm>
          <a:off x="8964" y="172077529"/>
          <a:ext cx="290208" cy="215153"/>
        </a:xfrm>
        <a:prstGeom prst="rect">
          <a:avLst/>
        </a:prstGeom>
        <a:noFill/>
      </xdr:spPr>
    </xdr:pic>
    <xdr:clientData/>
  </xdr:twoCellAnchor>
  <xdr:twoCellAnchor>
    <xdr:from>
      <xdr:col>1</xdr:col>
      <xdr:colOff>89646</xdr:colOff>
      <xdr:row>867</xdr:row>
      <xdr:rowOff>188260</xdr:rowOff>
    </xdr:from>
    <xdr:to>
      <xdr:col>4</xdr:col>
      <xdr:colOff>134472</xdr:colOff>
      <xdr:row>869</xdr:row>
      <xdr:rowOff>71717</xdr:rowOff>
    </xdr:to>
    <xdr:pic>
      <xdr:nvPicPr>
        <xdr:cNvPr id="2076" name="Picture 28">
          <a:extLst>
            <a:ext uri="{FF2B5EF4-FFF2-40B4-BE49-F238E27FC236}">
              <a16:creationId xmlns:a16="http://schemas.microsoft.com/office/drawing/2014/main" id="{00000000-0008-0000-0900-00001C08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a:stretch>
          <a:fillRect/>
        </a:stretch>
      </xdr:blipFill>
      <xdr:spPr bwMode="auto">
        <a:xfrm>
          <a:off x="1030940" y="173476025"/>
          <a:ext cx="2877673" cy="277904"/>
        </a:xfrm>
        <a:prstGeom prst="rect">
          <a:avLst/>
        </a:prstGeom>
        <a:noFill/>
      </xdr:spPr>
    </xdr:pic>
    <xdr:clientData/>
  </xdr:twoCellAnchor>
  <xdr:twoCellAnchor>
    <xdr:from>
      <xdr:col>0</xdr:col>
      <xdr:colOff>0</xdr:colOff>
      <xdr:row>865</xdr:row>
      <xdr:rowOff>107576</xdr:rowOff>
    </xdr:from>
    <xdr:to>
      <xdr:col>0</xdr:col>
      <xdr:colOff>759136</xdr:colOff>
      <xdr:row>867</xdr:row>
      <xdr:rowOff>66339</xdr:rowOff>
    </xdr:to>
    <xdr:pic>
      <xdr:nvPicPr>
        <xdr:cNvPr id="287" name="Picture 28">
          <a:extLst>
            <a:ext uri="{FF2B5EF4-FFF2-40B4-BE49-F238E27FC236}">
              <a16:creationId xmlns:a16="http://schemas.microsoft.com/office/drawing/2014/main" id="{00000000-0008-0000-0900-00001F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0" y="173000894"/>
          <a:ext cx="759136" cy="353210"/>
        </a:xfrm>
        <a:prstGeom prst="rect">
          <a:avLst/>
        </a:prstGeom>
        <a:noFill/>
      </xdr:spPr>
    </xdr:pic>
    <xdr:clientData/>
  </xdr:twoCellAnchor>
  <xdr:twoCellAnchor>
    <xdr:from>
      <xdr:col>0</xdr:col>
      <xdr:colOff>0</xdr:colOff>
      <xdr:row>874</xdr:row>
      <xdr:rowOff>0</xdr:rowOff>
    </xdr:from>
    <xdr:to>
      <xdr:col>5</xdr:col>
      <xdr:colOff>106680</xdr:colOff>
      <xdr:row>876</xdr:row>
      <xdr:rowOff>7620</xdr:rowOff>
    </xdr:to>
    <xdr:pic>
      <xdr:nvPicPr>
        <xdr:cNvPr id="2077" name="Picture 29">
          <a:extLst>
            <a:ext uri="{FF2B5EF4-FFF2-40B4-BE49-F238E27FC236}">
              <a16:creationId xmlns:a16="http://schemas.microsoft.com/office/drawing/2014/main" id="{00000000-0008-0000-0900-00001D080000}"/>
            </a:ext>
          </a:extLst>
        </xdr:cNvPr>
        <xdr:cNvPicPr>
          <a:picLocks noChangeAspect="1" noChangeArrowheads="1"/>
        </xdr:cNvPicPr>
      </xdr:nvPicPr>
      <xdr:blipFill>
        <a:blip xmlns:r="http://schemas.openxmlformats.org/officeDocument/2006/relationships" r:embed="rId31">
          <a:clrChange>
            <a:clrFrom>
              <a:srgbClr val="FFFFFF"/>
            </a:clrFrom>
            <a:clrTo>
              <a:srgbClr val="FFFFFF">
                <a:alpha val="0"/>
              </a:srgbClr>
            </a:clrTo>
          </a:clrChange>
        </a:blip>
        <a:srcRect/>
        <a:stretch>
          <a:fillRect/>
        </a:stretch>
      </xdr:blipFill>
      <xdr:spPr bwMode="auto">
        <a:xfrm>
          <a:off x="0" y="175298100"/>
          <a:ext cx="4511040" cy="403860"/>
        </a:xfrm>
        <a:prstGeom prst="rect">
          <a:avLst/>
        </a:prstGeom>
        <a:noFill/>
      </xdr:spPr>
    </xdr:pic>
    <xdr:clientData/>
  </xdr:twoCellAnchor>
  <xdr:twoCellAnchor>
    <xdr:from>
      <xdr:col>0</xdr:col>
      <xdr:colOff>98611</xdr:colOff>
      <xdr:row>876</xdr:row>
      <xdr:rowOff>91889</xdr:rowOff>
    </xdr:from>
    <xdr:to>
      <xdr:col>1</xdr:col>
      <xdr:colOff>8964</xdr:colOff>
      <xdr:row>878</xdr:row>
      <xdr:rowOff>165033</xdr:rowOff>
    </xdr:to>
    <xdr:pic>
      <xdr:nvPicPr>
        <xdr:cNvPr id="288" name="Picture 29">
          <a:extLst>
            <a:ext uri="{FF2B5EF4-FFF2-40B4-BE49-F238E27FC236}">
              <a16:creationId xmlns:a16="http://schemas.microsoft.com/office/drawing/2014/main" id="{00000000-0008-0000-0900-000020010000}"/>
            </a:ext>
          </a:extLst>
        </xdr:cNvPr>
        <xdr:cNvPicPr>
          <a:picLocks noChangeAspect="1" noChangeArrowheads="1"/>
        </xdr:cNvPicPr>
      </xdr:nvPicPr>
      <xdr:blipFill>
        <a:blip xmlns:r="http://schemas.openxmlformats.org/officeDocument/2006/relationships" r:embed="rId31">
          <a:clrChange>
            <a:clrFrom>
              <a:srgbClr val="FFFFFF"/>
            </a:clrFrom>
            <a:clrTo>
              <a:srgbClr val="FFFFFF">
                <a:alpha val="0"/>
              </a:srgbClr>
            </a:clrTo>
          </a:clrChange>
        </a:blip>
        <a:srcRect r="83787"/>
        <a:stretch>
          <a:fillRect/>
        </a:stretch>
      </xdr:blipFill>
      <xdr:spPr bwMode="auto">
        <a:xfrm>
          <a:off x="98611" y="175154665"/>
          <a:ext cx="851647" cy="467592"/>
        </a:xfrm>
        <a:prstGeom prst="rect">
          <a:avLst/>
        </a:prstGeom>
        <a:noFill/>
      </xdr:spPr>
    </xdr:pic>
    <xdr:clientData/>
  </xdr:twoCellAnchor>
  <xdr:twoCellAnchor>
    <xdr:from>
      <xdr:col>0</xdr:col>
      <xdr:colOff>0</xdr:colOff>
      <xdr:row>878</xdr:row>
      <xdr:rowOff>107576</xdr:rowOff>
    </xdr:from>
    <xdr:to>
      <xdr:col>0</xdr:col>
      <xdr:colOff>759136</xdr:colOff>
      <xdr:row>880</xdr:row>
      <xdr:rowOff>66339</xdr:rowOff>
    </xdr:to>
    <xdr:pic>
      <xdr:nvPicPr>
        <xdr:cNvPr id="289" name="Picture 28">
          <a:extLst>
            <a:ext uri="{FF2B5EF4-FFF2-40B4-BE49-F238E27FC236}">
              <a16:creationId xmlns:a16="http://schemas.microsoft.com/office/drawing/2014/main" id="{00000000-0008-0000-0900-000021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0" y="173000894"/>
          <a:ext cx="759136" cy="353210"/>
        </a:xfrm>
        <a:prstGeom prst="rect">
          <a:avLst/>
        </a:prstGeom>
        <a:noFill/>
      </xdr:spPr>
    </xdr:pic>
    <xdr:clientData/>
  </xdr:twoCellAnchor>
  <xdr:twoCellAnchor>
    <xdr:from>
      <xdr:col>4</xdr:col>
      <xdr:colOff>0</xdr:colOff>
      <xdr:row>877</xdr:row>
      <xdr:rowOff>0</xdr:rowOff>
    </xdr:from>
    <xdr:to>
      <xdr:col>4</xdr:col>
      <xdr:colOff>573741</xdr:colOff>
      <xdr:row>878</xdr:row>
      <xdr:rowOff>69726</xdr:rowOff>
    </xdr:to>
    <xdr:pic>
      <xdr:nvPicPr>
        <xdr:cNvPr id="290" name="Picture 28">
          <a:extLst>
            <a:ext uri="{FF2B5EF4-FFF2-40B4-BE49-F238E27FC236}">
              <a16:creationId xmlns:a16="http://schemas.microsoft.com/office/drawing/2014/main" id="{00000000-0008-0000-0900-000022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3774141" y="175260000"/>
          <a:ext cx="573741" cy="266950"/>
        </a:xfrm>
        <a:prstGeom prst="rect">
          <a:avLst/>
        </a:prstGeom>
        <a:noFill/>
      </xdr:spPr>
    </xdr:pic>
    <xdr:clientData/>
  </xdr:twoCellAnchor>
  <xdr:twoCellAnchor>
    <xdr:from>
      <xdr:col>1</xdr:col>
      <xdr:colOff>327660</xdr:colOff>
      <xdr:row>927</xdr:row>
      <xdr:rowOff>7620</xdr:rowOff>
    </xdr:from>
    <xdr:to>
      <xdr:col>1</xdr:col>
      <xdr:colOff>457200</xdr:colOff>
      <xdr:row>928</xdr:row>
      <xdr:rowOff>15240</xdr:rowOff>
    </xdr:to>
    <xdr:pic>
      <xdr:nvPicPr>
        <xdr:cNvPr id="121" name="Picture 7">
          <a:extLst>
            <a:ext uri="{FF2B5EF4-FFF2-40B4-BE49-F238E27FC236}">
              <a16:creationId xmlns:a16="http://schemas.microsoft.com/office/drawing/2014/main" id="{00000000-0008-0000-0900-000079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161390255"/>
          <a:ext cx="129540" cy="204844"/>
        </a:xfrm>
        <a:prstGeom prst="rect">
          <a:avLst/>
        </a:prstGeom>
        <a:noFill/>
      </xdr:spPr>
    </xdr:pic>
    <xdr:clientData/>
  </xdr:twoCellAnchor>
  <xdr:twoCellAnchor>
    <xdr:from>
      <xdr:col>3</xdr:col>
      <xdr:colOff>350520</xdr:colOff>
      <xdr:row>927</xdr:row>
      <xdr:rowOff>7620</xdr:rowOff>
    </xdr:from>
    <xdr:to>
      <xdr:col>3</xdr:col>
      <xdr:colOff>480060</xdr:colOff>
      <xdr:row>928</xdr:row>
      <xdr:rowOff>15240</xdr:rowOff>
    </xdr:to>
    <xdr:pic>
      <xdr:nvPicPr>
        <xdr:cNvPr id="122" name="Picture 8">
          <a:extLst>
            <a:ext uri="{FF2B5EF4-FFF2-40B4-BE49-F238E27FC236}">
              <a16:creationId xmlns:a16="http://schemas.microsoft.com/office/drawing/2014/main" id="{00000000-0008-0000-0900-00007A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64049" y="161390255"/>
          <a:ext cx="129540" cy="204844"/>
        </a:xfrm>
        <a:prstGeom prst="rect">
          <a:avLst/>
        </a:prstGeom>
        <a:noFill/>
      </xdr:spPr>
    </xdr:pic>
    <xdr:clientData/>
  </xdr:twoCellAnchor>
  <xdr:twoCellAnchor>
    <xdr:from>
      <xdr:col>5</xdr:col>
      <xdr:colOff>178845</xdr:colOff>
      <xdr:row>927</xdr:row>
      <xdr:rowOff>13894</xdr:rowOff>
    </xdr:from>
    <xdr:to>
      <xdr:col>5</xdr:col>
      <xdr:colOff>575085</xdr:colOff>
      <xdr:row>928</xdr:row>
      <xdr:rowOff>21514</xdr:rowOff>
    </xdr:to>
    <xdr:pic>
      <xdr:nvPicPr>
        <xdr:cNvPr id="123" name="Picture 2">
          <a:extLst>
            <a:ext uri="{FF2B5EF4-FFF2-40B4-BE49-F238E27FC236}">
              <a16:creationId xmlns:a16="http://schemas.microsoft.com/office/drawing/2014/main" id="{00000000-0008-0000-0900-00007B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589480" y="185179894"/>
          <a:ext cx="396240" cy="204844"/>
        </a:xfrm>
        <a:prstGeom prst="rect">
          <a:avLst/>
        </a:prstGeom>
        <a:noFill/>
      </xdr:spPr>
    </xdr:pic>
    <xdr:clientData/>
  </xdr:twoCellAnchor>
  <xdr:twoCellAnchor>
    <xdr:from>
      <xdr:col>6</xdr:col>
      <xdr:colOff>147469</xdr:colOff>
      <xdr:row>927</xdr:row>
      <xdr:rowOff>7620</xdr:rowOff>
    </xdr:from>
    <xdr:to>
      <xdr:col>6</xdr:col>
      <xdr:colOff>543709</xdr:colOff>
      <xdr:row>928</xdr:row>
      <xdr:rowOff>15240</xdr:rowOff>
    </xdr:to>
    <xdr:pic>
      <xdr:nvPicPr>
        <xdr:cNvPr id="124" name="Picture 3">
          <a:extLst>
            <a:ext uri="{FF2B5EF4-FFF2-40B4-BE49-F238E27FC236}">
              <a16:creationId xmlns:a16="http://schemas.microsoft.com/office/drawing/2014/main" id="{00000000-0008-0000-0900-00007C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364928" y="185173620"/>
          <a:ext cx="396240" cy="204844"/>
        </a:xfrm>
        <a:prstGeom prst="rect">
          <a:avLst/>
        </a:prstGeom>
        <a:noFill/>
      </xdr:spPr>
    </xdr:pic>
    <xdr:clientData/>
  </xdr:twoCellAnchor>
  <xdr:twoCellAnchor>
    <xdr:from>
      <xdr:col>7</xdr:col>
      <xdr:colOff>134470</xdr:colOff>
      <xdr:row>927</xdr:row>
      <xdr:rowOff>22860</xdr:rowOff>
    </xdr:from>
    <xdr:to>
      <xdr:col>7</xdr:col>
      <xdr:colOff>1163170</xdr:colOff>
      <xdr:row>928</xdr:row>
      <xdr:rowOff>30480</xdr:rowOff>
    </xdr:to>
    <xdr:pic>
      <xdr:nvPicPr>
        <xdr:cNvPr id="125" name="Picture 4">
          <a:extLst>
            <a:ext uri="{FF2B5EF4-FFF2-40B4-BE49-F238E27FC236}">
              <a16:creationId xmlns:a16="http://schemas.microsoft.com/office/drawing/2014/main" id="{00000000-0008-0000-0900-00007D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069105" y="161405495"/>
          <a:ext cx="1028700" cy="204844"/>
        </a:xfrm>
        <a:prstGeom prst="rect">
          <a:avLst/>
        </a:prstGeom>
        <a:noFill/>
      </xdr:spPr>
    </xdr:pic>
    <xdr:clientData/>
  </xdr:twoCellAnchor>
  <xdr:twoCellAnchor>
    <xdr:from>
      <xdr:col>4</xdr:col>
      <xdr:colOff>10758</xdr:colOff>
      <xdr:row>927</xdr:row>
      <xdr:rowOff>22860</xdr:rowOff>
    </xdr:from>
    <xdr:to>
      <xdr:col>4</xdr:col>
      <xdr:colOff>604670</xdr:colOff>
      <xdr:row>928</xdr:row>
      <xdr:rowOff>30480</xdr:rowOff>
    </xdr:to>
    <xdr:pic>
      <xdr:nvPicPr>
        <xdr:cNvPr id="126" name="Picture 6">
          <a:extLst>
            <a:ext uri="{FF2B5EF4-FFF2-40B4-BE49-F238E27FC236}">
              <a16:creationId xmlns:a16="http://schemas.microsoft.com/office/drawing/2014/main" id="{00000000-0008-0000-0900-00007E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784899" y="185188860"/>
          <a:ext cx="593912" cy="204844"/>
        </a:xfrm>
        <a:prstGeom prst="rect">
          <a:avLst/>
        </a:prstGeom>
        <a:noFill/>
      </xdr:spPr>
    </xdr:pic>
    <xdr:clientData/>
  </xdr:twoCellAnchor>
  <xdr:twoCellAnchor>
    <xdr:from>
      <xdr:col>2</xdr:col>
      <xdr:colOff>126402</xdr:colOff>
      <xdr:row>927</xdr:row>
      <xdr:rowOff>6276</xdr:rowOff>
    </xdr:from>
    <xdr:to>
      <xdr:col>2</xdr:col>
      <xdr:colOff>713142</xdr:colOff>
      <xdr:row>928</xdr:row>
      <xdr:rowOff>13896</xdr:rowOff>
    </xdr:to>
    <xdr:pic>
      <xdr:nvPicPr>
        <xdr:cNvPr id="127" name="Picture 5">
          <a:extLst>
            <a:ext uri="{FF2B5EF4-FFF2-40B4-BE49-F238E27FC236}">
              <a16:creationId xmlns:a16="http://schemas.microsoft.com/office/drawing/2014/main" id="{00000000-0008-0000-0900-00007F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53814" y="185172276"/>
          <a:ext cx="586740" cy="204844"/>
        </a:xfrm>
        <a:prstGeom prst="rect">
          <a:avLst/>
        </a:prstGeom>
        <a:noFill/>
      </xdr:spPr>
    </xdr:pic>
    <xdr:clientData/>
  </xdr:twoCellAnchor>
  <xdr:twoCellAnchor>
    <xdr:from>
      <xdr:col>0</xdr:col>
      <xdr:colOff>35859</xdr:colOff>
      <xdr:row>942</xdr:row>
      <xdr:rowOff>125506</xdr:rowOff>
    </xdr:from>
    <xdr:to>
      <xdr:col>2</xdr:col>
      <xdr:colOff>851199</xdr:colOff>
      <xdr:row>944</xdr:row>
      <xdr:rowOff>155986</xdr:rowOff>
    </xdr:to>
    <xdr:pic>
      <xdr:nvPicPr>
        <xdr:cNvPr id="128" name="Picture 2">
          <a:extLst>
            <a:ext uri="{FF2B5EF4-FFF2-40B4-BE49-F238E27FC236}">
              <a16:creationId xmlns:a16="http://schemas.microsoft.com/office/drawing/2014/main" id="{00000000-0008-0000-0900-000080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165452612"/>
          <a:ext cx="2742752" cy="424927"/>
        </a:xfrm>
        <a:prstGeom prst="rect">
          <a:avLst/>
        </a:prstGeom>
        <a:noFill/>
      </xdr:spPr>
    </xdr:pic>
    <xdr:clientData/>
  </xdr:twoCellAnchor>
  <xdr:twoCellAnchor>
    <xdr:from>
      <xdr:col>0</xdr:col>
      <xdr:colOff>89647</xdr:colOff>
      <xdr:row>946</xdr:row>
      <xdr:rowOff>8965</xdr:rowOff>
    </xdr:from>
    <xdr:to>
      <xdr:col>0</xdr:col>
      <xdr:colOff>851647</xdr:colOff>
      <xdr:row>948</xdr:row>
      <xdr:rowOff>16585</xdr:rowOff>
    </xdr:to>
    <xdr:pic>
      <xdr:nvPicPr>
        <xdr:cNvPr id="129" name="Picture 1">
          <a:extLst>
            <a:ext uri="{FF2B5EF4-FFF2-40B4-BE49-F238E27FC236}">
              <a16:creationId xmlns:a16="http://schemas.microsoft.com/office/drawing/2014/main" id="{00000000-0008-0000-0900-000081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66124965"/>
          <a:ext cx="762000" cy="402067"/>
        </a:xfrm>
        <a:prstGeom prst="rect">
          <a:avLst/>
        </a:prstGeom>
        <a:noFill/>
      </xdr:spPr>
    </xdr:pic>
    <xdr:clientData/>
  </xdr:twoCellAnchor>
  <xdr:twoCellAnchor>
    <xdr:from>
      <xdr:col>0</xdr:col>
      <xdr:colOff>0</xdr:colOff>
      <xdr:row>949</xdr:row>
      <xdr:rowOff>0</xdr:rowOff>
    </xdr:from>
    <xdr:to>
      <xdr:col>1</xdr:col>
      <xdr:colOff>243840</xdr:colOff>
      <xdr:row>950</xdr:row>
      <xdr:rowOff>7620</xdr:rowOff>
    </xdr:to>
    <xdr:pic>
      <xdr:nvPicPr>
        <xdr:cNvPr id="130" name="Picture 3">
          <a:extLst>
            <a:ext uri="{FF2B5EF4-FFF2-40B4-BE49-F238E27FC236}">
              <a16:creationId xmlns:a16="http://schemas.microsoft.com/office/drawing/2014/main" id="{00000000-0008-0000-0900-000082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166707671"/>
          <a:ext cx="1185134" cy="240702"/>
        </a:xfrm>
        <a:prstGeom prst="rect">
          <a:avLst/>
        </a:prstGeom>
        <a:noFill/>
      </xdr:spPr>
    </xdr:pic>
    <xdr:clientData/>
  </xdr:twoCellAnchor>
  <xdr:twoCellAnchor>
    <xdr:from>
      <xdr:col>0</xdr:col>
      <xdr:colOff>0</xdr:colOff>
      <xdr:row>952</xdr:row>
      <xdr:rowOff>62753</xdr:rowOff>
    </xdr:from>
    <xdr:to>
      <xdr:col>1</xdr:col>
      <xdr:colOff>533400</xdr:colOff>
      <xdr:row>954</xdr:row>
      <xdr:rowOff>62753</xdr:rowOff>
    </xdr:to>
    <xdr:pic>
      <xdr:nvPicPr>
        <xdr:cNvPr id="131" name="Picture 10">
          <a:extLst>
            <a:ext uri="{FF2B5EF4-FFF2-40B4-BE49-F238E27FC236}">
              <a16:creationId xmlns:a16="http://schemas.microsoft.com/office/drawing/2014/main" id="{00000000-0008-0000-0900-000083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0" y="167397953"/>
          <a:ext cx="1474694" cy="394447"/>
        </a:xfrm>
        <a:prstGeom prst="rect">
          <a:avLst/>
        </a:prstGeom>
        <a:noFill/>
      </xdr:spPr>
    </xdr:pic>
    <xdr:clientData/>
  </xdr:twoCellAnchor>
  <xdr:twoCellAnchor>
    <xdr:from>
      <xdr:col>0</xdr:col>
      <xdr:colOff>179294</xdr:colOff>
      <xdr:row>954</xdr:row>
      <xdr:rowOff>107576</xdr:rowOff>
    </xdr:from>
    <xdr:to>
      <xdr:col>1</xdr:col>
      <xdr:colOff>567914</xdr:colOff>
      <xdr:row>957</xdr:row>
      <xdr:rowOff>24652</xdr:rowOff>
    </xdr:to>
    <xdr:pic>
      <xdr:nvPicPr>
        <xdr:cNvPr id="132" name="Picture 14">
          <a:extLst>
            <a:ext uri="{FF2B5EF4-FFF2-40B4-BE49-F238E27FC236}">
              <a16:creationId xmlns:a16="http://schemas.microsoft.com/office/drawing/2014/main" id="{00000000-0008-0000-0900-000084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179294" y="167837223"/>
          <a:ext cx="1329914" cy="508747"/>
        </a:xfrm>
        <a:prstGeom prst="rect">
          <a:avLst/>
        </a:prstGeom>
        <a:noFill/>
      </xdr:spPr>
    </xdr:pic>
    <xdr:clientData/>
  </xdr:twoCellAnchor>
  <xdr:twoCellAnchor>
    <xdr:from>
      <xdr:col>0</xdr:col>
      <xdr:colOff>161365</xdr:colOff>
      <xdr:row>957</xdr:row>
      <xdr:rowOff>89647</xdr:rowOff>
    </xdr:from>
    <xdr:to>
      <xdr:col>1</xdr:col>
      <xdr:colOff>549985</xdr:colOff>
      <xdr:row>960</xdr:row>
      <xdr:rowOff>15688</xdr:rowOff>
    </xdr:to>
    <xdr:pic>
      <xdr:nvPicPr>
        <xdr:cNvPr id="133" name="Picture 13">
          <a:extLst>
            <a:ext uri="{FF2B5EF4-FFF2-40B4-BE49-F238E27FC236}">
              <a16:creationId xmlns:a16="http://schemas.microsoft.com/office/drawing/2014/main" id="{00000000-0008-0000-0900-000085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161365" y="168410965"/>
          <a:ext cx="1329914" cy="517711"/>
        </a:xfrm>
        <a:prstGeom prst="rect">
          <a:avLst/>
        </a:prstGeom>
        <a:noFill/>
      </xdr:spPr>
    </xdr:pic>
    <xdr:clientData/>
  </xdr:twoCellAnchor>
  <xdr:twoCellAnchor>
    <xdr:from>
      <xdr:col>0</xdr:col>
      <xdr:colOff>134470</xdr:colOff>
      <xdr:row>960</xdr:row>
      <xdr:rowOff>62753</xdr:rowOff>
    </xdr:from>
    <xdr:to>
      <xdr:col>1</xdr:col>
      <xdr:colOff>115196</xdr:colOff>
      <xdr:row>962</xdr:row>
      <xdr:rowOff>168089</xdr:rowOff>
    </xdr:to>
    <xdr:pic>
      <xdr:nvPicPr>
        <xdr:cNvPr id="134" name="Picture 12">
          <a:extLst>
            <a:ext uri="{FF2B5EF4-FFF2-40B4-BE49-F238E27FC236}">
              <a16:creationId xmlns:a16="http://schemas.microsoft.com/office/drawing/2014/main" id="{00000000-0008-0000-0900-00008600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134470" y="168975741"/>
          <a:ext cx="922020" cy="499783"/>
        </a:xfrm>
        <a:prstGeom prst="rect">
          <a:avLst/>
        </a:prstGeom>
        <a:noFill/>
      </xdr:spPr>
    </xdr:pic>
    <xdr:clientData/>
  </xdr:twoCellAnchor>
  <xdr:twoCellAnchor>
    <xdr:from>
      <xdr:col>0</xdr:col>
      <xdr:colOff>0</xdr:colOff>
      <xdr:row>963</xdr:row>
      <xdr:rowOff>8965</xdr:rowOff>
    </xdr:from>
    <xdr:to>
      <xdr:col>1</xdr:col>
      <xdr:colOff>601980</xdr:colOff>
      <xdr:row>964</xdr:row>
      <xdr:rowOff>160021</xdr:rowOff>
    </xdr:to>
    <xdr:pic>
      <xdr:nvPicPr>
        <xdr:cNvPr id="135" name="Picture 11">
          <a:extLst>
            <a:ext uri="{FF2B5EF4-FFF2-40B4-BE49-F238E27FC236}">
              <a16:creationId xmlns:a16="http://schemas.microsoft.com/office/drawing/2014/main" id="{00000000-0008-0000-0900-000087000000}"/>
            </a:ext>
          </a:extLst>
        </xdr:cNvPr>
        <xdr:cNvPicPr>
          <a:picLocks noChangeAspect="1" noChangeArrowheads="1"/>
        </xdr:cNvPicPr>
      </xdr:nvPicPr>
      <xdr:blipFill>
        <a:blip xmlns:r="http://schemas.openxmlformats.org/officeDocument/2006/relationships" r:embed="rId24">
          <a:clrChange>
            <a:clrFrom>
              <a:srgbClr val="FFFFFF"/>
            </a:clrFrom>
            <a:clrTo>
              <a:srgbClr val="FFFFFF">
                <a:alpha val="0"/>
              </a:srgbClr>
            </a:clrTo>
          </a:clrChange>
        </a:blip>
        <a:srcRect/>
        <a:stretch>
          <a:fillRect/>
        </a:stretch>
      </xdr:blipFill>
      <xdr:spPr bwMode="auto">
        <a:xfrm>
          <a:off x="0" y="169513624"/>
          <a:ext cx="1543274" cy="348279"/>
        </a:xfrm>
        <a:prstGeom prst="rect">
          <a:avLst/>
        </a:prstGeom>
        <a:noFill/>
      </xdr:spPr>
    </xdr:pic>
    <xdr:clientData/>
  </xdr:twoCellAnchor>
  <xdr:twoCellAnchor>
    <xdr:from>
      <xdr:col>8</xdr:col>
      <xdr:colOff>484094</xdr:colOff>
      <xdr:row>926</xdr:row>
      <xdr:rowOff>224117</xdr:rowOff>
    </xdr:from>
    <xdr:to>
      <xdr:col>8</xdr:col>
      <xdr:colOff>613634</xdr:colOff>
      <xdr:row>927</xdr:row>
      <xdr:rowOff>195879</xdr:rowOff>
    </xdr:to>
    <xdr:pic>
      <xdr:nvPicPr>
        <xdr:cNvPr id="136" name="Picture 15">
          <a:extLst>
            <a:ext uri="{FF2B5EF4-FFF2-40B4-BE49-F238E27FC236}">
              <a16:creationId xmlns:a16="http://schemas.microsoft.com/office/drawing/2014/main" id="{00000000-0008-0000-0900-000088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7718612" y="185157035"/>
          <a:ext cx="129540" cy="204844"/>
        </a:xfrm>
        <a:prstGeom prst="rect">
          <a:avLst/>
        </a:prstGeom>
        <a:noFill/>
      </xdr:spPr>
    </xdr:pic>
    <xdr:clientData/>
  </xdr:twoCellAnchor>
  <xdr:twoCellAnchor>
    <xdr:from>
      <xdr:col>9</xdr:col>
      <xdr:colOff>233082</xdr:colOff>
      <xdr:row>927</xdr:row>
      <xdr:rowOff>0</xdr:rowOff>
    </xdr:from>
    <xdr:to>
      <xdr:col>9</xdr:col>
      <xdr:colOff>827442</xdr:colOff>
      <xdr:row>928</xdr:row>
      <xdr:rowOff>7620</xdr:rowOff>
    </xdr:to>
    <xdr:pic>
      <xdr:nvPicPr>
        <xdr:cNvPr id="137" name="Picture 16">
          <a:extLst>
            <a:ext uri="{FF2B5EF4-FFF2-40B4-BE49-F238E27FC236}">
              <a16:creationId xmlns:a16="http://schemas.microsoft.com/office/drawing/2014/main" id="{00000000-0008-0000-0900-000089000000}"/>
            </a:ext>
          </a:extLst>
        </xdr:cNvPr>
        <xdr:cNvPicPr>
          <a:picLocks noChangeAspect="1" noChangeArrowheads="1"/>
        </xdr:cNvPicPr>
      </xdr:nvPicPr>
      <xdr:blipFill>
        <a:blip xmlns:r="http://schemas.openxmlformats.org/officeDocument/2006/relationships" r:embed="rId26">
          <a:clrChange>
            <a:clrFrom>
              <a:srgbClr val="FFFFFF"/>
            </a:clrFrom>
            <a:clrTo>
              <a:srgbClr val="FFFFFF">
                <a:alpha val="0"/>
              </a:srgbClr>
            </a:clrTo>
          </a:clrChange>
        </a:blip>
        <a:srcRect/>
        <a:stretch>
          <a:fillRect/>
        </a:stretch>
      </xdr:blipFill>
      <xdr:spPr bwMode="auto">
        <a:xfrm>
          <a:off x="8390964" y="185166000"/>
          <a:ext cx="594360" cy="204844"/>
        </a:xfrm>
        <a:prstGeom prst="rect">
          <a:avLst/>
        </a:prstGeom>
        <a:noFill/>
      </xdr:spPr>
    </xdr:pic>
    <xdr:clientData/>
  </xdr:twoCellAnchor>
  <xdr:twoCellAnchor>
    <xdr:from>
      <xdr:col>0</xdr:col>
      <xdr:colOff>26894</xdr:colOff>
      <xdr:row>965</xdr:row>
      <xdr:rowOff>35859</xdr:rowOff>
    </xdr:from>
    <xdr:to>
      <xdr:col>2</xdr:col>
      <xdr:colOff>49754</xdr:colOff>
      <xdr:row>967</xdr:row>
      <xdr:rowOff>180639</xdr:rowOff>
    </xdr:to>
    <xdr:pic>
      <xdr:nvPicPr>
        <xdr:cNvPr id="138" name="Picture 17">
          <a:extLst>
            <a:ext uri="{FF2B5EF4-FFF2-40B4-BE49-F238E27FC236}">
              <a16:creationId xmlns:a16="http://schemas.microsoft.com/office/drawing/2014/main" id="{00000000-0008-0000-0900-00008A000000}"/>
            </a:ext>
          </a:extLst>
        </xdr:cNvPr>
        <xdr:cNvPicPr>
          <a:picLocks noChangeAspect="1" noChangeArrowheads="1"/>
        </xdr:cNvPicPr>
      </xdr:nvPicPr>
      <xdr:blipFill>
        <a:blip xmlns:r="http://schemas.openxmlformats.org/officeDocument/2006/relationships" r:embed="rId27">
          <a:clrChange>
            <a:clrFrom>
              <a:srgbClr val="FFFFFF"/>
            </a:clrFrom>
            <a:clrTo>
              <a:srgbClr val="FFFFFF">
                <a:alpha val="0"/>
              </a:srgbClr>
            </a:clrTo>
          </a:clrChange>
        </a:blip>
        <a:srcRect/>
        <a:stretch>
          <a:fillRect/>
        </a:stretch>
      </xdr:blipFill>
      <xdr:spPr bwMode="auto">
        <a:xfrm>
          <a:off x="26894" y="169934965"/>
          <a:ext cx="1950272" cy="539227"/>
        </a:xfrm>
        <a:prstGeom prst="rect">
          <a:avLst/>
        </a:prstGeom>
        <a:noFill/>
      </xdr:spPr>
    </xdr:pic>
    <xdr:clientData/>
  </xdr:twoCellAnchor>
  <xdr:twoCellAnchor>
    <xdr:from>
      <xdr:col>1</xdr:col>
      <xdr:colOff>89646</xdr:colOff>
      <xdr:row>978</xdr:row>
      <xdr:rowOff>26894</xdr:rowOff>
    </xdr:from>
    <xdr:to>
      <xdr:col>4</xdr:col>
      <xdr:colOff>134472</xdr:colOff>
      <xdr:row>979</xdr:row>
      <xdr:rowOff>71717</xdr:rowOff>
    </xdr:to>
    <xdr:pic>
      <xdr:nvPicPr>
        <xdr:cNvPr id="141" name="Picture 28">
          <a:extLst>
            <a:ext uri="{FF2B5EF4-FFF2-40B4-BE49-F238E27FC236}">
              <a16:creationId xmlns:a16="http://schemas.microsoft.com/office/drawing/2014/main" id="{00000000-0008-0000-0900-00008D00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a:stretch>
          <a:fillRect/>
        </a:stretch>
      </xdr:blipFill>
      <xdr:spPr bwMode="auto">
        <a:xfrm>
          <a:off x="1030940" y="195448518"/>
          <a:ext cx="2877673" cy="242046"/>
        </a:xfrm>
        <a:prstGeom prst="rect">
          <a:avLst/>
        </a:prstGeom>
        <a:noFill/>
      </xdr:spPr>
    </xdr:pic>
    <xdr:clientData/>
  </xdr:twoCellAnchor>
  <xdr:twoCellAnchor>
    <xdr:from>
      <xdr:col>0</xdr:col>
      <xdr:colOff>107577</xdr:colOff>
      <xdr:row>975</xdr:row>
      <xdr:rowOff>116540</xdr:rowOff>
    </xdr:from>
    <xdr:to>
      <xdr:col>0</xdr:col>
      <xdr:colOff>866713</xdr:colOff>
      <xdr:row>977</xdr:row>
      <xdr:rowOff>26894</xdr:rowOff>
    </xdr:to>
    <xdr:pic>
      <xdr:nvPicPr>
        <xdr:cNvPr id="142" name="Picture 28">
          <a:extLst>
            <a:ext uri="{FF2B5EF4-FFF2-40B4-BE49-F238E27FC236}">
              <a16:creationId xmlns:a16="http://schemas.microsoft.com/office/drawing/2014/main" id="{00000000-0008-0000-0900-00008E00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107577" y="194946493"/>
          <a:ext cx="759136" cy="304801"/>
        </a:xfrm>
        <a:prstGeom prst="rect">
          <a:avLst/>
        </a:prstGeom>
        <a:noFill/>
      </xdr:spPr>
    </xdr:pic>
    <xdr:clientData/>
  </xdr:twoCellAnchor>
  <xdr:twoCellAnchor>
    <xdr:from>
      <xdr:col>0</xdr:col>
      <xdr:colOff>0</xdr:colOff>
      <xdr:row>981</xdr:row>
      <xdr:rowOff>116541</xdr:rowOff>
    </xdr:from>
    <xdr:to>
      <xdr:col>2</xdr:col>
      <xdr:colOff>251460</xdr:colOff>
      <xdr:row>983</xdr:row>
      <xdr:rowOff>154641</xdr:rowOff>
    </xdr:to>
    <xdr:pic>
      <xdr:nvPicPr>
        <xdr:cNvPr id="13" name="Picture 2">
          <a:extLst>
            <a:ext uri="{FF2B5EF4-FFF2-40B4-BE49-F238E27FC236}">
              <a16:creationId xmlns:a16="http://schemas.microsoft.com/office/drawing/2014/main" id="{00000000-0008-0000-0900-00000D000000}"/>
            </a:ext>
          </a:extLst>
        </xdr:cNvPr>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blip>
        <a:srcRect/>
        <a:stretch>
          <a:fillRect/>
        </a:stretch>
      </xdr:blipFill>
      <xdr:spPr bwMode="auto">
        <a:xfrm>
          <a:off x="0" y="196040188"/>
          <a:ext cx="2178872" cy="432547"/>
        </a:xfrm>
        <a:prstGeom prst="rect">
          <a:avLst/>
        </a:prstGeom>
        <a:noFill/>
      </xdr:spPr>
    </xdr:pic>
    <xdr:clientData/>
  </xdr:twoCellAnchor>
  <xdr:twoCellAnchor>
    <xdr:from>
      <xdr:col>1</xdr:col>
      <xdr:colOff>408342</xdr:colOff>
      <xdr:row>1019</xdr:row>
      <xdr:rowOff>231738</xdr:rowOff>
    </xdr:from>
    <xdr:to>
      <xdr:col>1</xdr:col>
      <xdr:colOff>537882</xdr:colOff>
      <xdr:row>1021</xdr:row>
      <xdr:rowOff>6276</xdr:rowOff>
    </xdr:to>
    <xdr:pic>
      <xdr:nvPicPr>
        <xdr:cNvPr id="149" name="Picture 7">
          <a:extLst>
            <a:ext uri="{FF2B5EF4-FFF2-40B4-BE49-F238E27FC236}">
              <a16:creationId xmlns:a16="http://schemas.microsoft.com/office/drawing/2014/main" id="{00000000-0008-0000-0900-000095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49636" y="97095385"/>
          <a:ext cx="129540" cy="204844"/>
        </a:xfrm>
        <a:prstGeom prst="rect">
          <a:avLst/>
        </a:prstGeom>
        <a:noFill/>
      </xdr:spPr>
    </xdr:pic>
    <xdr:clientData/>
  </xdr:twoCellAnchor>
  <xdr:twoCellAnchor>
    <xdr:from>
      <xdr:col>3</xdr:col>
      <xdr:colOff>395343</xdr:colOff>
      <xdr:row>1019</xdr:row>
      <xdr:rowOff>231737</xdr:rowOff>
    </xdr:from>
    <xdr:to>
      <xdr:col>3</xdr:col>
      <xdr:colOff>524883</xdr:colOff>
      <xdr:row>1021</xdr:row>
      <xdr:rowOff>6275</xdr:rowOff>
    </xdr:to>
    <xdr:pic>
      <xdr:nvPicPr>
        <xdr:cNvPr id="150" name="Picture 8">
          <a:extLst>
            <a:ext uri="{FF2B5EF4-FFF2-40B4-BE49-F238E27FC236}">
              <a16:creationId xmlns:a16="http://schemas.microsoft.com/office/drawing/2014/main" id="{00000000-0008-0000-0900-000096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308872" y="97095384"/>
          <a:ext cx="129540" cy="204844"/>
        </a:xfrm>
        <a:prstGeom prst="rect">
          <a:avLst/>
        </a:prstGeom>
        <a:noFill/>
      </xdr:spPr>
    </xdr:pic>
    <xdr:clientData/>
  </xdr:twoCellAnchor>
  <xdr:twoCellAnchor>
    <xdr:from>
      <xdr:col>5</xdr:col>
      <xdr:colOff>116092</xdr:colOff>
      <xdr:row>1020</xdr:row>
      <xdr:rowOff>31825</xdr:rowOff>
    </xdr:from>
    <xdr:to>
      <xdr:col>5</xdr:col>
      <xdr:colOff>512332</xdr:colOff>
      <xdr:row>1021</xdr:row>
      <xdr:rowOff>39445</xdr:rowOff>
    </xdr:to>
    <xdr:pic>
      <xdr:nvPicPr>
        <xdr:cNvPr id="154" name="Picture 2">
          <a:extLst>
            <a:ext uri="{FF2B5EF4-FFF2-40B4-BE49-F238E27FC236}">
              <a16:creationId xmlns:a16="http://schemas.microsoft.com/office/drawing/2014/main" id="{00000000-0008-0000-0900-00009A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697057" y="97128554"/>
          <a:ext cx="396240" cy="204844"/>
        </a:xfrm>
        <a:prstGeom prst="rect">
          <a:avLst/>
        </a:prstGeom>
        <a:noFill/>
      </xdr:spPr>
    </xdr:pic>
    <xdr:clientData/>
  </xdr:twoCellAnchor>
  <xdr:twoCellAnchor>
    <xdr:from>
      <xdr:col>6</xdr:col>
      <xdr:colOff>156435</xdr:colOff>
      <xdr:row>1020</xdr:row>
      <xdr:rowOff>34514</xdr:rowOff>
    </xdr:from>
    <xdr:to>
      <xdr:col>6</xdr:col>
      <xdr:colOff>552675</xdr:colOff>
      <xdr:row>1021</xdr:row>
      <xdr:rowOff>42134</xdr:rowOff>
    </xdr:to>
    <xdr:pic>
      <xdr:nvPicPr>
        <xdr:cNvPr id="155" name="Picture 3">
          <a:extLst>
            <a:ext uri="{FF2B5EF4-FFF2-40B4-BE49-F238E27FC236}">
              <a16:creationId xmlns:a16="http://schemas.microsoft.com/office/drawing/2014/main" id="{00000000-0008-0000-0900-00009B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44223" y="97131243"/>
          <a:ext cx="396240" cy="204844"/>
        </a:xfrm>
        <a:prstGeom prst="rect">
          <a:avLst/>
        </a:prstGeom>
        <a:noFill/>
      </xdr:spPr>
    </xdr:pic>
    <xdr:clientData/>
  </xdr:twoCellAnchor>
  <xdr:twoCellAnchor>
    <xdr:from>
      <xdr:col>7</xdr:col>
      <xdr:colOff>134470</xdr:colOff>
      <xdr:row>1020</xdr:row>
      <xdr:rowOff>22860</xdr:rowOff>
    </xdr:from>
    <xdr:to>
      <xdr:col>7</xdr:col>
      <xdr:colOff>1163170</xdr:colOff>
      <xdr:row>1021</xdr:row>
      <xdr:rowOff>30480</xdr:rowOff>
    </xdr:to>
    <xdr:pic>
      <xdr:nvPicPr>
        <xdr:cNvPr id="156" name="Picture 4">
          <a:extLst>
            <a:ext uri="{FF2B5EF4-FFF2-40B4-BE49-F238E27FC236}">
              <a16:creationId xmlns:a16="http://schemas.microsoft.com/office/drawing/2014/main" id="{00000000-0008-0000-0900-00009C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97119589"/>
          <a:ext cx="1028700" cy="204844"/>
        </a:xfrm>
        <a:prstGeom prst="rect">
          <a:avLst/>
        </a:prstGeom>
        <a:noFill/>
      </xdr:spPr>
    </xdr:pic>
    <xdr:clientData/>
  </xdr:twoCellAnchor>
  <xdr:twoCellAnchor>
    <xdr:from>
      <xdr:col>3</xdr:col>
      <xdr:colOff>853440</xdr:colOff>
      <xdr:row>1020</xdr:row>
      <xdr:rowOff>4930</xdr:rowOff>
    </xdr:from>
    <xdr:to>
      <xdr:col>4</xdr:col>
      <xdr:colOff>586740</xdr:colOff>
      <xdr:row>1021</xdr:row>
      <xdr:rowOff>12550</xdr:rowOff>
    </xdr:to>
    <xdr:pic>
      <xdr:nvPicPr>
        <xdr:cNvPr id="157" name="Picture 6">
          <a:extLst>
            <a:ext uri="{FF2B5EF4-FFF2-40B4-BE49-F238E27FC236}">
              <a16:creationId xmlns:a16="http://schemas.microsoft.com/office/drawing/2014/main" id="{00000000-0008-0000-0900-00009D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766969" y="97101659"/>
          <a:ext cx="593912" cy="204844"/>
        </a:xfrm>
        <a:prstGeom prst="rect">
          <a:avLst/>
        </a:prstGeom>
        <a:noFill/>
      </xdr:spPr>
    </xdr:pic>
    <xdr:clientData/>
  </xdr:twoCellAnchor>
  <xdr:twoCellAnchor>
    <xdr:from>
      <xdr:col>2</xdr:col>
      <xdr:colOff>233979</xdr:colOff>
      <xdr:row>1020</xdr:row>
      <xdr:rowOff>15241</xdr:rowOff>
    </xdr:from>
    <xdr:to>
      <xdr:col>2</xdr:col>
      <xdr:colOff>820719</xdr:colOff>
      <xdr:row>1021</xdr:row>
      <xdr:rowOff>22861</xdr:rowOff>
    </xdr:to>
    <xdr:pic>
      <xdr:nvPicPr>
        <xdr:cNvPr id="158" name="Picture 5">
          <a:extLst>
            <a:ext uri="{FF2B5EF4-FFF2-40B4-BE49-F238E27FC236}">
              <a16:creationId xmlns:a16="http://schemas.microsoft.com/office/drawing/2014/main" id="{00000000-0008-0000-0900-00009E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61391" y="97111970"/>
          <a:ext cx="586740" cy="204844"/>
        </a:xfrm>
        <a:prstGeom prst="rect">
          <a:avLst/>
        </a:prstGeom>
        <a:noFill/>
      </xdr:spPr>
    </xdr:pic>
    <xdr:clientData/>
  </xdr:twoCellAnchor>
  <xdr:twoCellAnchor>
    <xdr:from>
      <xdr:col>0</xdr:col>
      <xdr:colOff>35859</xdr:colOff>
      <xdr:row>1037</xdr:row>
      <xdr:rowOff>125506</xdr:rowOff>
    </xdr:from>
    <xdr:to>
      <xdr:col>2</xdr:col>
      <xdr:colOff>851199</xdr:colOff>
      <xdr:row>1039</xdr:row>
      <xdr:rowOff>155986</xdr:rowOff>
    </xdr:to>
    <xdr:pic>
      <xdr:nvPicPr>
        <xdr:cNvPr id="178" name="Picture 2">
          <a:extLst>
            <a:ext uri="{FF2B5EF4-FFF2-40B4-BE49-F238E27FC236}">
              <a16:creationId xmlns:a16="http://schemas.microsoft.com/office/drawing/2014/main" id="{00000000-0008-0000-0900-0000B2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100772259"/>
          <a:ext cx="2742752" cy="424927"/>
        </a:xfrm>
        <a:prstGeom prst="rect">
          <a:avLst/>
        </a:prstGeom>
        <a:noFill/>
      </xdr:spPr>
    </xdr:pic>
    <xdr:clientData/>
  </xdr:twoCellAnchor>
  <xdr:twoCellAnchor>
    <xdr:from>
      <xdr:col>0</xdr:col>
      <xdr:colOff>89647</xdr:colOff>
      <xdr:row>1041</xdr:row>
      <xdr:rowOff>35859</xdr:rowOff>
    </xdr:from>
    <xdr:to>
      <xdr:col>0</xdr:col>
      <xdr:colOff>851647</xdr:colOff>
      <xdr:row>1042</xdr:row>
      <xdr:rowOff>43479</xdr:rowOff>
    </xdr:to>
    <xdr:pic>
      <xdr:nvPicPr>
        <xdr:cNvPr id="180" name="Picture 1">
          <a:extLst>
            <a:ext uri="{FF2B5EF4-FFF2-40B4-BE49-F238E27FC236}">
              <a16:creationId xmlns:a16="http://schemas.microsoft.com/office/drawing/2014/main" id="{00000000-0008-0000-0900-0000B4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01471506"/>
          <a:ext cx="762000" cy="204844"/>
        </a:xfrm>
        <a:prstGeom prst="rect">
          <a:avLst/>
        </a:prstGeom>
        <a:noFill/>
      </xdr:spPr>
    </xdr:pic>
    <xdr:clientData/>
  </xdr:twoCellAnchor>
  <xdr:twoCellAnchor>
    <xdr:from>
      <xdr:col>0</xdr:col>
      <xdr:colOff>0</xdr:colOff>
      <xdr:row>1044</xdr:row>
      <xdr:rowOff>0</xdr:rowOff>
    </xdr:from>
    <xdr:to>
      <xdr:col>1</xdr:col>
      <xdr:colOff>243840</xdr:colOff>
      <xdr:row>1045</xdr:row>
      <xdr:rowOff>7620</xdr:rowOff>
    </xdr:to>
    <xdr:pic>
      <xdr:nvPicPr>
        <xdr:cNvPr id="184" name="Picture 3">
          <a:extLst>
            <a:ext uri="{FF2B5EF4-FFF2-40B4-BE49-F238E27FC236}">
              <a16:creationId xmlns:a16="http://schemas.microsoft.com/office/drawing/2014/main" id="{00000000-0008-0000-0900-0000B8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102027318"/>
          <a:ext cx="1185134" cy="204843"/>
        </a:xfrm>
        <a:prstGeom prst="rect">
          <a:avLst/>
        </a:prstGeom>
        <a:noFill/>
      </xdr:spPr>
    </xdr:pic>
    <xdr:clientData/>
  </xdr:twoCellAnchor>
  <xdr:twoCellAnchor>
    <xdr:from>
      <xdr:col>0</xdr:col>
      <xdr:colOff>0</xdr:colOff>
      <xdr:row>1055</xdr:row>
      <xdr:rowOff>0</xdr:rowOff>
    </xdr:from>
    <xdr:to>
      <xdr:col>2</xdr:col>
      <xdr:colOff>251460</xdr:colOff>
      <xdr:row>1057</xdr:row>
      <xdr:rowOff>38100</xdr:rowOff>
    </xdr:to>
    <xdr:pic>
      <xdr:nvPicPr>
        <xdr:cNvPr id="15" name="Picture 4">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blip>
        <a:srcRect/>
        <a:stretch>
          <a:fillRect/>
        </a:stretch>
      </xdr:blipFill>
      <xdr:spPr bwMode="auto">
        <a:xfrm>
          <a:off x="0" y="210449160"/>
          <a:ext cx="2171700" cy="434340"/>
        </a:xfrm>
        <a:prstGeom prst="rect">
          <a:avLst/>
        </a:prstGeom>
        <a:noFill/>
      </xdr:spPr>
    </xdr:pic>
    <xdr:clientData/>
  </xdr:twoCellAnchor>
  <xdr:twoCellAnchor>
    <xdr:from>
      <xdr:col>0</xdr:col>
      <xdr:colOff>0</xdr:colOff>
      <xdr:row>1059</xdr:row>
      <xdr:rowOff>0</xdr:rowOff>
    </xdr:from>
    <xdr:to>
      <xdr:col>1</xdr:col>
      <xdr:colOff>533400</xdr:colOff>
      <xdr:row>1061</xdr:row>
      <xdr:rowOff>0</xdr:rowOff>
    </xdr:to>
    <xdr:pic>
      <xdr:nvPicPr>
        <xdr:cNvPr id="16" name="Picture 5">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0" y="211241640"/>
          <a:ext cx="1470660" cy="396240"/>
        </a:xfrm>
        <a:prstGeom prst="rect">
          <a:avLst/>
        </a:prstGeom>
        <a:noFill/>
      </xdr:spPr>
    </xdr:pic>
    <xdr:clientData/>
  </xdr:twoCellAnchor>
  <xdr:twoCellAnchor>
    <xdr:from>
      <xdr:col>0</xdr:col>
      <xdr:colOff>0</xdr:colOff>
      <xdr:row>1062</xdr:row>
      <xdr:rowOff>0</xdr:rowOff>
    </xdr:from>
    <xdr:to>
      <xdr:col>0</xdr:col>
      <xdr:colOff>922020</xdr:colOff>
      <xdr:row>1064</xdr:row>
      <xdr:rowOff>129540</xdr:rowOff>
    </xdr:to>
    <xdr:pic>
      <xdr:nvPicPr>
        <xdr:cNvPr id="17" name="Picture 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0" y="211836000"/>
          <a:ext cx="922020" cy="525780"/>
        </a:xfrm>
        <a:prstGeom prst="rect">
          <a:avLst/>
        </a:prstGeom>
        <a:noFill/>
      </xdr:spPr>
    </xdr:pic>
    <xdr:clientData/>
  </xdr:twoCellAnchor>
  <xdr:twoCellAnchor>
    <xdr:from>
      <xdr:col>0</xdr:col>
      <xdr:colOff>412378</xdr:colOff>
      <xdr:row>1067</xdr:row>
      <xdr:rowOff>71717</xdr:rowOff>
    </xdr:from>
    <xdr:to>
      <xdr:col>1</xdr:col>
      <xdr:colOff>800998</xdr:colOff>
      <xdr:row>1070</xdr:row>
      <xdr:rowOff>4033</xdr:rowOff>
    </xdr:to>
    <xdr:pic>
      <xdr:nvPicPr>
        <xdr:cNvPr id="18" name="Picture 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412378" y="212965552"/>
          <a:ext cx="1329914" cy="523987"/>
        </a:xfrm>
        <a:prstGeom prst="rect">
          <a:avLst/>
        </a:prstGeom>
        <a:noFill/>
      </xdr:spPr>
    </xdr:pic>
    <xdr:clientData/>
  </xdr:twoCellAnchor>
  <xdr:twoCellAnchor>
    <xdr:from>
      <xdr:col>0</xdr:col>
      <xdr:colOff>116541</xdr:colOff>
      <xdr:row>1070</xdr:row>
      <xdr:rowOff>188258</xdr:rowOff>
    </xdr:from>
    <xdr:to>
      <xdr:col>2</xdr:col>
      <xdr:colOff>139401</xdr:colOff>
      <xdr:row>1073</xdr:row>
      <xdr:rowOff>180638</xdr:rowOff>
    </xdr:to>
    <xdr:pic>
      <xdr:nvPicPr>
        <xdr:cNvPr id="185" name="Picture 17">
          <a:extLst>
            <a:ext uri="{FF2B5EF4-FFF2-40B4-BE49-F238E27FC236}">
              <a16:creationId xmlns:a16="http://schemas.microsoft.com/office/drawing/2014/main" id="{00000000-0008-0000-0900-0000B9000000}"/>
            </a:ext>
          </a:extLst>
        </xdr:cNvPr>
        <xdr:cNvPicPr>
          <a:picLocks noChangeAspect="1" noChangeArrowheads="1"/>
        </xdr:cNvPicPr>
      </xdr:nvPicPr>
      <xdr:blipFill>
        <a:blip xmlns:r="http://schemas.openxmlformats.org/officeDocument/2006/relationships" r:embed="rId27">
          <a:clrChange>
            <a:clrFrom>
              <a:srgbClr val="FFFFFF"/>
            </a:clrFrom>
            <a:clrTo>
              <a:srgbClr val="FFFFFF">
                <a:alpha val="0"/>
              </a:srgbClr>
            </a:clrTo>
          </a:clrChange>
        </a:blip>
        <a:srcRect/>
        <a:stretch>
          <a:fillRect/>
        </a:stretch>
      </xdr:blipFill>
      <xdr:spPr bwMode="auto">
        <a:xfrm>
          <a:off x="116541" y="213673764"/>
          <a:ext cx="1950272" cy="584050"/>
        </a:xfrm>
        <a:prstGeom prst="rect">
          <a:avLst/>
        </a:prstGeom>
        <a:noFill/>
      </xdr:spPr>
    </xdr:pic>
    <xdr:clientData/>
  </xdr:twoCellAnchor>
  <xdr:twoCellAnchor>
    <xdr:from>
      <xdr:col>0</xdr:col>
      <xdr:colOff>0</xdr:colOff>
      <xdr:row>1046</xdr:row>
      <xdr:rowOff>0</xdr:rowOff>
    </xdr:from>
    <xdr:to>
      <xdr:col>4</xdr:col>
      <xdr:colOff>678180</xdr:colOff>
      <xdr:row>1047</xdr:row>
      <xdr:rowOff>152400</xdr:rowOff>
    </xdr:to>
    <xdr:pic>
      <xdr:nvPicPr>
        <xdr:cNvPr id="19" name="Picture 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a:stretch>
          <a:fillRect/>
        </a:stretch>
      </xdr:blipFill>
      <xdr:spPr bwMode="auto">
        <a:xfrm>
          <a:off x="0" y="209666541"/>
          <a:ext cx="4452321" cy="349624"/>
        </a:xfrm>
        <a:prstGeom prst="rect">
          <a:avLst/>
        </a:prstGeom>
        <a:noFill/>
      </xdr:spPr>
    </xdr:pic>
    <xdr:clientData/>
  </xdr:twoCellAnchor>
  <xdr:twoCellAnchor>
    <xdr:from>
      <xdr:col>0</xdr:col>
      <xdr:colOff>89648</xdr:colOff>
      <xdr:row>1048</xdr:row>
      <xdr:rowOff>125506</xdr:rowOff>
    </xdr:from>
    <xdr:to>
      <xdr:col>0</xdr:col>
      <xdr:colOff>826015</xdr:colOff>
      <xdr:row>1050</xdr:row>
      <xdr:rowOff>62753</xdr:rowOff>
    </xdr:to>
    <xdr:pic>
      <xdr:nvPicPr>
        <xdr:cNvPr id="187" name="Picture 8">
          <a:extLst>
            <a:ext uri="{FF2B5EF4-FFF2-40B4-BE49-F238E27FC236}">
              <a16:creationId xmlns:a16="http://schemas.microsoft.com/office/drawing/2014/main" id="{00000000-0008-0000-0900-0000BB00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r="83460"/>
        <a:stretch>
          <a:fillRect/>
        </a:stretch>
      </xdr:blipFill>
      <xdr:spPr bwMode="auto">
        <a:xfrm>
          <a:off x="89648" y="210186494"/>
          <a:ext cx="736367" cy="331694"/>
        </a:xfrm>
        <a:prstGeom prst="rect">
          <a:avLst/>
        </a:prstGeom>
        <a:noFill/>
      </xdr:spPr>
    </xdr:pic>
    <xdr:clientData/>
  </xdr:twoCellAnchor>
  <xdr:twoCellAnchor>
    <xdr:from>
      <xdr:col>0</xdr:col>
      <xdr:colOff>125506</xdr:colOff>
      <xdr:row>1050</xdr:row>
      <xdr:rowOff>143436</xdr:rowOff>
    </xdr:from>
    <xdr:to>
      <xdr:col>0</xdr:col>
      <xdr:colOff>862309</xdr:colOff>
      <xdr:row>1052</xdr:row>
      <xdr:rowOff>17930</xdr:rowOff>
    </xdr:to>
    <xdr:pic>
      <xdr:nvPicPr>
        <xdr:cNvPr id="188" name="Picture 28">
          <a:extLst>
            <a:ext uri="{FF2B5EF4-FFF2-40B4-BE49-F238E27FC236}">
              <a16:creationId xmlns:a16="http://schemas.microsoft.com/office/drawing/2014/main" id="{00000000-0008-0000-0900-0000BC00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125506" y="210204424"/>
          <a:ext cx="736803" cy="268941"/>
        </a:xfrm>
        <a:prstGeom prst="rect">
          <a:avLst/>
        </a:prstGeom>
        <a:noFill/>
      </xdr:spPr>
    </xdr:pic>
    <xdr:clientData/>
  </xdr:twoCellAnchor>
  <xdr:twoCellAnchor>
    <xdr:from>
      <xdr:col>4</xdr:col>
      <xdr:colOff>34083</xdr:colOff>
      <xdr:row>1048</xdr:row>
      <xdr:rowOff>71718</xdr:rowOff>
    </xdr:from>
    <xdr:to>
      <xdr:col>4</xdr:col>
      <xdr:colOff>774948</xdr:colOff>
      <xdr:row>1050</xdr:row>
      <xdr:rowOff>89647</xdr:rowOff>
    </xdr:to>
    <xdr:pic>
      <xdr:nvPicPr>
        <xdr:cNvPr id="189" name="Picture 8">
          <a:extLst>
            <a:ext uri="{FF2B5EF4-FFF2-40B4-BE49-F238E27FC236}">
              <a16:creationId xmlns:a16="http://schemas.microsoft.com/office/drawing/2014/main" id="{00000000-0008-0000-0900-0000BD00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l="59962" r="25929"/>
        <a:stretch>
          <a:fillRect/>
        </a:stretch>
      </xdr:blipFill>
      <xdr:spPr bwMode="auto">
        <a:xfrm>
          <a:off x="3808224" y="209738259"/>
          <a:ext cx="740865" cy="412376"/>
        </a:xfrm>
        <a:prstGeom prst="rect">
          <a:avLst/>
        </a:prstGeom>
        <a:noFill/>
      </xdr:spPr>
    </xdr:pic>
    <xdr:clientData/>
  </xdr:twoCellAnchor>
  <xdr:twoCellAnchor>
    <xdr:from>
      <xdr:col>1</xdr:col>
      <xdr:colOff>327660</xdr:colOff>
      <xdr:row>1109</xdr:row>
      <xdr:rowOff>7620</xdr:rowOff>
    </xdr:from>
    <xdr:to>
      <xdr:col>1</xdr:col>
      <xdr:colOff>457200</xdr:colOff>
      <xdr:row>1110</xdr:row>
      <xdr:rowOff>15240</xdr:rowOff>
    </xdr:to>
    <xdr:pic>
      <xdr:nvPicPr>
        <xdr:cNvPr id="190" name="Picture 7">
          <a:extLst>
            <a:ext uri="{FF2B5EF4-FFF2-40B4-BE49-F238E27FC236}">
              <a16:creationId xmlns:a16="http://schemas.microsoft.com/office/drawing/2014/main" id="{00000000-0008-0000-0900-0000BE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185173620"/>
          <a:ext cx="129540" cy="204844"/>
        </a:xfrm>
        <a:prstGeom prst="rect">
          <a:avLst/>
        </a:prstGeom>
        <a:noFill/>
      </xdr:spPr>
    </xdr:pic>
    <xdr:clientData/>
  </xdr:twoCellAnchor>
  <xdr:twoCellAnchor>
    <xdr:from>
      <xdr:col>3</xdr:col>
      <xdr:colOff>350520</xdr:colOff>
      <xdr:row>1109</xdr:row>
      <xdr:rowOff>7620</xdr:rowOff>
    </xdr:from>
    <xdr:to>
      <xdr:col>3</xdr:col>
      <xdr:colOff>480060</xdr:colOff>
      <xdr:row>1110</xdr:row>
      <xdr:rowOff>15240</xdr:rowOff>
    </xdr:to>
    <xdr:pic>
      <xdr:nvPicPr>
        <xdr:cNvPr id="191" name="Picture 8">
          <a:extLst>
            <a:ext uri="{FF2B5EF4-FFF2-40B4-BE49-F238E27FC236}">
              <a16:creationId xmlns:a16="http://schemas.microsoft.com/office/drawing/2014/main" id="{00000000-0008-0000-0900-0000BF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64049" y="185173620"/>
          <a:ext cx="129540" cy="204844"/>
        </a:xfrm>
        <a:prstGeom prst="rect">
          <a:avLst/>
        </a:prstGeom>
        <a:noFill/>
      </xdr:spPr>
    </xdr:pic>
    <xdr:clientData/>
  </xdr:twoCellAnchor>
  <xdr:twoCellAnchor>
    <xdr:from>
      <xdr:col>5</xdr:col>
      <xdr:colOff>151950</xdr:colOff>
      <xdr:row>1109</xdr:row>
      <xdr:rowOff>13895</xdr:rowOff>
    </xdr:from>
    <xdr:to>
      <xdr:col>5</xdr:col>
      <xdr:colOff>548190</xdr:colOff>
      <xdr:row>1110</xdr:row>
      <xdr:rowOff>21515</xdr:rowOff>
    </xdr:to>
    <xdr:pic>
      <xdr:nvPicPr>
        <xdr:cNvPr id="192" name="Picture 2">
          <a:extLst>
            <a:ext uri="{FF2B5EF4-FFF2-40B4-BE49-F238E27FC236}">
              <a16:creationId xmlns:a16="http://schemas.microsoft.com/office/drawing/2014/main" id="{00000000-0008-0000-0900-0000C0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732915" y="221863471"/>
          <a:ext cx="396240" cy="204844"/>
        </a:xfrm>
        <a:prstGeom prst="rect">
          <a:avLst/>
        </a:prstGeom>
        <a:noFill/>
      </xdr:spPr>
    </xdr:pic>
    <xdr:clientData/>
  </xdr:twoCellAnchor>
  <xdr:twoCellAnchor>
    <xdr:from>
      <xdr:col>6</xdr:col>
      <xdr:colOff>165399</xdr:colOff>
      <xdr:row>1108</xdr:row>
      <xdr:rowOff>222773</xdr:rowOff>
    </xdr:from>
    <xdr:to>
      <xdr:col>6</xdr:col>
      <xdr:colOff>561639</xdr:colOff>
      <xdr:row>1109</xdr:row>
      <xdr:rowOff>194535</xdr:rowOff>
    </xdr:to>
    <xdr:pic>
      <xdr:nvPicPr>
        <xdr:cNvPr id="193" name="Picture 3">
          <a:extLst>
            <a:ext uri="{FF2B5EF4-FFF2-40B4-BE49-F238E27FC236}">
              <a16:creationId xmlns:a16="http://schemas.microsoft.com/office/drawing/2014/main" id="{00000000-0008-0000-0900-0000C1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53187" y="221839267"/>
          <a:ext cx="396240" cy="204844"/>
        </a:xfrm>
        <a:prstGeom prst="rect">
          <a:avLst/>
        </a:prstGeom>
        <a:noFill/>
      </xdr:spPr>
    </xdr:pic>
    <xdr:clientData/>
  </xdr:twoCellAnchor>
  <xdr:twoCellAnchor>
    <xdr:from>
      <xdr:col>7</xdr:col>
      <xdr:colOff>107576</xdr:colOff>
      <xdr:row>1109</xdr:row>
      <xdr:rowOff>40789</xdr:rowOff>
    </xdr:from>
    <xdr:to>
      <xdr:col>7</xdr:col>
      <xdr:colOff>1136276</xdr:colOff>
      <xdr:row>1110</xdr:row>
      <xdr:rowOff>48409</xdr:rowOff>
    </xdr:to>
    <xdr:pic>
      <xdr:nvPicPr>
        <xdr:cNvPr id="194" name="Picture 4">
          <a:extLst>
            <a:ext uri="{FF2B5EF4-FFF2-40B4-BE49-F238E27FC236}">
              <a16:creationId xmlns:a16="http://schemas.microsoft.com/office/drawing/2014/main" id="{00000000-0008-0000-0900-0000C2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12541" y="221890365"/>
          <a:ext cx="1028700" cy="204844"/>
        </a:xfrm>
        <a:prstGeom prst="rect">
          <a:avLst/>
        </a:prstGeom>
        <a:noFill/>
      </xdr:spPr>
    </xdr:pic>
    <xdr:clientData/>
  </xdr:twoCellAnchor>
  <xdr:twoCellAnchor>
    <xdr:from>
      <xdr:col>4</xdr:col>
      <xdr:colOff>118334</xdr:colOff>
      <xdr:row>1109</xdr:row>
      <xdr:rowOff>4931</xdr:rowOff>
    </xdr:from>
    <xdr:to>
      <xdr:col>4</xdr:col>
      <xdr:colOff>712246</xdr:colOff>
      <xdr:row>1110</xdr:row>
      <xdr:rowOff>12551</xdr:rowOff>
    </xdr:to>
    <xdr:pic>
      <xdr:nvPicPr>
        <xdr:cNvPr id="195" name="Picture 6">
          <a:extLst>
            <a:ext uri="{FF2B5EF4-FFF2-40B4-BE49-F238E27FC236}">
              <a16:creationId xmlns:a16="http://schemas.microsoft.com/office/drawing/2014/main" id="{00000000-0008-0000-0900-0000C3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892475" y="221854507"/>
          <a:ext cx="593912" cy="204844"/>
        </a:xfrm>
        <a:prstGeom prst="rect">
          <a:avLst/>
        </a:prstGeom>
        <a:noFill/>
      </xdr:spPr>
    </xdr:pic>
    <xdr:clientData/>
  </xdr:twoCellAnchor>
  <xdr:twoCellAnchor>
    <xdr:from>
      <xdr:col>2</xdr:col>
      <xdr:colOff>144331</xdr:colOff>
      <xdr:row>1109</xdr:row>
      <xdr:rowOff>15240</xdr:rowOff>
    </xdr:from>
    <xdr:to>
      <xdr:col>2</xdr:col>
      <xdr:colOff>731071</xdr:colOff>
      <xdr:row>1110</xdr:row>
      <xdr:rowOff>22860</xdr:rowOff>
    </xdr:to>
    <xdr:pic>
      <xdr:nvPicPr>
        <xdr:cNvPr id="196" name="Picture 5">
          <a:extLst>
            <a:ext uri="{FF2B5EF4-FFF2-40B4-BE49-F238E27FC236}">
              <a16:creationId xmlns:a16="http://schemas.microsoft.com/office/drawing/2014/main" id="{00000000-0008-0000-0900-0000C4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071743" y="221864816"/>
          <a:ext cx="586740" cy="204844"/>
        </a:xfrm>
        <a:prstGeom prst="rect">
          <a:avLst/>
        </a:prstGeom>
        <a:noFill/>
      </xdr:spPr>
    </xdr:pic>
    <xdr:clientData/>
  </xdr:twoCellAnchor>
  <xdr:twoCellAnchor>
    <xdr:from>
      <xdr:col>0</xdr:col>
      <xdr:colOff>35859</xdr:colOff>
      <xdr:row>1121</xdr:row>
      <xdr:rowOff>125506</xdr:rowOff>
    </xdr:from>
    <xdr:to>
      <xdr:col>2</xdr:col>
      <xdr:colOff>851199</xdr:colOff>
      <xdr:row>1123</xdr:row>
      <xdr:rowOff>155986</xdr:rowOff>
    </xdr:to>
    <xdr:pic>
      <xdr:nvPicPr>
        <xdr:cNvPr id="197" name="Picture 2">
          <a:extLst>
            <a:ext uri="{FF2B5EF4-FFF2-40B4-BE49-F238E27FC236}">
              <a16:creationId xmlns:a16="http://schemas.microsoft.com/office/drawing/2014/main" id="{00000000-0008-0000-0900-0000C5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188447082"/>
          <a:ext cx="2742752" cy="424928"/>
        </a:xfrm>
        <a:prstGeom prst="rect">
          <a:avLst/>
        </a:prstGeom>
        <a:noFill/>
      </xdr:spPr>
    </xdr:pic>
    <xdr:clientData/>
  </xdr:twoCellAnchor>
  <xdr:twoCellAnchor>
    <xdr:from>
      <xdr:col>0</xdr:col>
      <xdr:colOff>89647</xdr:colOff>
      <xdr:row>1125</xdr:row>
      <xdr:rowOff>8965</xdr:rowOff>
    </xdr:from>
    <xdr:to>
      <xdr:col>0</xdr:col>
      <xdr:colOff>851647</xdr:colOff>
      <xdr:row>1127</xdr:row>
      <xdr:rowOff>16585</xdr:rowOff>
    </xdr:to>
    <xdr:pic>
      <xdr:nvPicPr>
        <xdr:cNvPr id="198" name="Picture 1">
          <a:extLst>
            <a:ext uri="{FF2B5EF4-FFF2-40B4-BE49-F238E27FC236}">
              <a16:creationId xmlns:a16="http://schemas.microsoft.com/office/drawing/2014/main" id="{00000000-0008-0000-0900-0000C6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89119436"/>
          <a:ext cx="762000" cy="402067"/>
        </a:xfrm>
        <a:prstGeom prst="rect">
          <a:avLst/>
        </a:prstGeom>
        <a:noFill/>
      </xdr:spPr>
    </xdr:pic>
    <xdr:clientData/>
  </xdr:twoCellAnchor>
  <xdr:twoCellAnchor>
    <xdr:from>
      <xdr:col>0</xdr:col>
      <xdr:colOff>0</xdr:colOff>
      <xdr:row>1128</xdr:row>
      <xdr:rowOff>0</xdr:rowOff>
    </xdr:from>
    <xdr:to>
      <xdr:col>1</xdr:col>
      <xdr:colOff>243840</xdr:colOff>
      <xdr:row>1129</xdr:row>
      <xdr:rowOff>7620</xdr:rowOff>
    </xdr:to>
    <xdr:pic>
      <xdr:nvPicPr>
        <xdr:cNvPr id="199" name="Picture 3">
          <a:extLst>
            <a:ext uri="{FF2B5EF4-FFF2-40B4-BE49-F238E27FC236}">
              <a16:creationId xmlns:a16="http://schemas.microsoft.com/office/drawing/2014/main" id="{00000000-0008-0000-0900-0000C7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189702141"/>
          <a:ext cx="1185134" cy="204844"/>
        </a:xfrm>
        <a:prstGeom prst="rect">
          <a:avLst/>
        </a:prstGeom>
        <a:noFill/>
      </xdr:spPr>
    </xdr:pic>
    <xdr:clientData/>
  </xdr:twoCellAnchor>
  <xdr:twoCellAnchor>
    <xdr:from>
      <xdr:col>0</xdr:col>
      <xdr:colOff>0</xdr:colOff>
      <xdr:row>1131</xdr:row>
      <xdr:rowOff>62753</xdr:rowOff>
    </xdr:from>
    <xdr:to>
      <xdr:col>1</xdr:col>
      <xdr:colOff>533400</xdr:colOff>
      <xdr:row>1133</xdr:row>
      <xdr:rowOff>62753</xdr:rowOff>
    </xdr:to>
    <xdr:pic>
      <xdr:nvPicPr>
        <xdr:cNvPr id="200" name="Picture 10">
          <a:extLst>
            <a:ext uri="{FF2B5EF4-FFF2-40B4-BE49-F238E27FC236}">
              <a16:creationId xmlns:a16="http://schemas.microsoft.com/office/drawing/2014/main" id="{00000000-0008-0000-0900-0000C8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0" y="190356565"/>
          <a:ext cx="1474694" cy="439270"/>
        </a:xfrm>
        <a:prstGeom prst="rect">
          <a:avLst/>
        </a:prstGeom>
        <a:noFill/>
      </xdr:spPr>
    </xdr:pic>
    <xdr:clientData/>
  </xdr:twoCellAnchor>
  <xdr:twoCellAnchor>
    <xdr:from>
      <xdr:col>0</xdr:col>
      <xdr:colOff>179294</xdr:colOff>
      <xdr:row>1133</xdr:row>
      <xdr:rowOff>107576</xdr:rowOff>
    </xdr:from>
    <xdr:to>
      <xdr:col>1</xdr:col>
      <xdr:colOff>567914</xdr:colOff>
      <xdr:row>1136</xdr:row>
      <xdr:rowOff>24652</xdr:rowOff>
    </xdr:to>
    <xdr:pic>
      <xdr:nvPicPr>
        <xdr:cNvPr id="201" name="Picture 14">
          <a:extLst>
            <a:ext uri="{FF2B5EF4-FFF2-40B4-BE49-F238E27FC236}">
              <a16:creationId xmlns:a16="http://schemas.microsoft.com/office/drawing/2014/main" id="{00000000-0008-0000-0900-0000C9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179294" y="190840658"/>
          <a:ext cx="1329914" cy="508747"/>
        </a:xfrm>
        <a:prstGeom prst="rect">
          <a:avLst/>
        </a:prstGeom>
        <a:noFill/>
      </xdr:spPr>
    </xdr:pic>
    <xdr:clientData/>
  </xdr:twoCellAnchor>
  <xdr:twoCellAnchor>
    <xdr:from>
      <xdr:col>0</xdr:col>
      <xdr:colOff>161365</xdr:colOff>
      <xdr:row>1136</xdr:row>
      <xdr:rowOff>89647</xdr:rowOff>
    </xdr:from>
    <xdr:to>
      <xdr:col>1</xdr:col>
      <xdr:colOff>549985</xdr:colOff>
      <xdr:row>1139</xdr:row>
      <xdr:rowOff>15688</xdr:rowOff>
    </xdr:to>
    <xdr:pic>
      <xdr:nvPicPr>
        <xdr:cNvPr id="202" name="Picture 13">
          <a:extLst>
            <a:ext uri="{FF2B5EF4-FFF2-40B4-BE49-F238E27FC236}">
              <a16:creationId xmlns:a16="http://schemas.microsoft.com/office/drawing/2014/main" id="{00000000-0008-0000-0900-0000CA000000}"/>
            </a:ext>
          </a:extLst>
        </xdr:cNvPr>
        <xdr:cNvPicPr>
          <a:picLocks noChangeAspect="1" noChangeArrowheads="1"/>
        </xdr:cNvPicPr>
      </xdr:nvPicPr>
      <xdr:blipFill>
        <a:blip xmlns:r="http://schemas.openxmlformats.org/officeDocument/2006/relationships" r:embed="rId22">
          <a:clrChange>
            <a:clrFrom>
              <a:srgbClr val="FFFFFF"/>
            </a:clrFrom>
            <a:clrTo>
              <a:srgbClr val="FFFFFF">
                <a:alpha val="0"/>
              </a:srgbClr>
            </a:clrTo>
          </a:clrChange>
        </a:blip>
        <a:srcRect/>
        <a:stretch>
          <a:fillRect/>
        </a:stretch>
      </xdr:blipFill>
      <xdr:spPr bwMode="auto">
        <a:xfrm>
          <a:off x="161365" y="191414400"/>
          <a:ext cx="1329914" cy="517712"/>
        </a:xfrm>
        <a:prstGeom prst="rect">
          <a:avLst/>
        </a:prstGeom>
        <a:noFill/>
      </xdr:spPr>
    </xdr:pic>
    <xdr:clientData/>
  </xdr:twoCellAnchor>
  <xdr:twoCellAnchor>
    <xdr:from>
      <xdr:col>0</xdr:col>
      <xdr:colOff>134470</xdr:colOff>
      <xdr:row>1139</xdr:row>
      <xdr:rowOff>62753</xdr:rowOff>
    </xdr:from>
    <xdr:to>
      <xdr:col>1</xdr:col>
      <xdr:colOff>115196</xdr:colOff>
      <xdr:row>1141</xdr:row>
      <xdr:rowOff>168089</xdr:rowOff>
    </xdr:to>
    <xdr:pic>
      <xdr:nvPicPr>
        <xdr:cNvPr id="203" name="Picture 12">
          <a:extLst>
            <a:ext uri="{FF2B5EF4-FFF2-40B4-BE49-F238E27FC236}">
              <a16:creationId xmlns:a16="http://schemas.microsoft.com/office/drawing/2014/main" id="{00000000-0008-0000-0900-0000CB00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134470" y="191979177"/>
          <a:ext cx="922020" cy="499783"/>
        </a:xfrm>
        <a:prstGeom prst="rect">
          <a:avLst/>
        </a:prstGeom>
        <a:noFill/>
      </xdr:spPr>
    </xdr:pic>
    <xdr:clientData/>
  </xdr:twoCellAnchor>
  <xdr:twoCellAnchor>
    <xdr:from>
      <xdr:col>0</xdr:col>
      <xdr:colOff>0</xdr:colOff>
      <xdr:row>1142</xdr:row>
      <xdr:rowOff>8965</xdr:rowOff>
    </xdr:from>
    <xdr:to>
      <xdr:col>1</xdr:col>
      <xdr:colOff>601980</xdr:colOff>
      <xdr:row>1143</xdr:row>
      <xdr:rowOff>160021</xdr:rowOff>
    </xdr:to>
    <xdr:pic>
      <xdr:nvPicPr>
        <xdr:cNvPr id="204" name="Picture 11">
          <a:extLst>
            <a:ext uri="{FF2B5EF4-FFF2-40B4-BE49-F238E27FC236}">
              <a16:creationId xmlns:a16="http://schemas.microsoft.com/office/drawing/2014/main" id="{00000000-0008-0000-0900-0000CC000000}"/>
            </a:ext>
          </a:extLst>
        </xdr:cNvPr>
        <xdr:cNvPicPr>
          <a:picLocks noChangeAspect="1" noChangeArrowheads="1"/>
        </xdr:cNvPicPr>
      </xdr:nvPicPr>
      <xdr:blipFill>
        <a:blip xmlns:r="http://schemas.openxmlformats.org/officeDocument/2006/relationships" r:embed="rId24">
          <a:clrChange>
            <a:clrFrom>
              <a:srgbClr val="FFFFFF"/>
            </a:clrFrom>
            <a:clrTo>
              <a:srgbClr val="FFFFFF">
                <a:alpha val="0"/>
              </a:srgbClr>
            </a:clrTo>
          </a:clrChange>
        </a:blip>
        <a:srcRect/>
        <a:stretch>
          <a:fillRect/>
        </a:stretch>
      </xdr:blipFill>
      <xdr:spPr bwMode="auto">
        <a:xfrm>
          <a:off x="0" y="192517059"/>
          <a:ext cx="1543274" cy="348280"/>
        </a:xfrm>
        <a:prstGeom prst="rect">
          <a:avLst/>
        </a:prstGeom>
        <a:noFill/>
      </xdr:spPr>
    </xdr:pic>
    <xdr:clientData/>
  </xdr:twoCellAnchor>
  <xdr:twoCellAnchor>
    <xdr:from>
      <xdr:col>8</xdr:col>
      <xdr:colOff>331693</xdr:colOff>
      <xdr:row>1109</xdr:row>
      <xdr:rowOff>17928</xdr:rowOff>
    </xdr:from>
    <xdr:to>
      <xdr:col>8</xdr:col>
      <xdr:colOff>461233</xdr:colOff>
      <xdr:row>1110</xdr:row>
      <xdr:rowOff>25548</xdr:rowOff>
    </xdr:to>
    <xdr:pic>
      <xdr:nvPicPr>
        <xdr:cNvPr id="205" name="Picture 15">
          <a:extLst>
            <a:ext uri="{FF2B5EF4-FFF2-40B4-BE49-F238E27FC236}">
              <a16:creationId xmlns:a16="http://schemas.microsoft.com/office/drawing/2014/main" id="{00000000-0008-0000-0900-0000CD000000}"/>
            </a:ext>
          </a:extLst>
        </xdr:cNvPr>
        <xdr:cNvPicPr>
          <a:picLocks noChangeAspect="1" noChangeArrowheads="1"/>
        </xdr:cNvPicPr>
      </xdr:nvPicPr>
      <xdr:blipFill>
        <a:blip xmlns:r="http://schemas.openxmlformats.org/officeDocument/2006/relationships" r:embed="rId25">
          <a:clrChange>
            <a:clrFrom>
              <a:srgbClr val="FFFFFF"/>
            </a:clrFrom>
            <a:clrTo>
              <a:srgbClr val="FFFFFF">
                <a:alpha val="0"/>
              </a:srgbClr>
            </a:clrTo>
          </a:clrChange>
        </a:blip>
        <a:srcRect/>
        <a:stretch>
          <a:fillRect/>
        </a:stretch>
      </xdr:blipFill>
      <xdr:spPr bwMode="auto">
        <a:xfrm>
          <a:off x="7736540" y="221867504"/>
          <a:ext cx="129540" cy="204844"/>
        </a:xfrm>
        <a:prstGeom prst="rect">
          <a:avLst/>
        </a:prstGeom>
        <a:noFill/>
      </xdr:spPr>
    </xdr:pic>
    <xdr:clientData/>
  </xdr:twoCellAnchor>
  <xdr:twoCellAnchor>
    <xdr:from>
      <xdr:col>9</xdr:col>
      <xdr:colOff>161365</xdr:colOff>
      <xdr:row>1109</xdr:row>
      <xdr:rowOff>8966</xdr:rowOff>
    </xdr:from>
    <xdr:to>
      <xdr:col>9</xdr:col>
      <xdr:colOff>755725</xdr:colOff>
      <xdr:row>1110</xdr:row>
      <xdr:rowOff>16586</xdr:rowOff>
    </xdr:to>
    <xdr:pic>
      <xdr:nvPicPr>
        <xdr:cNvPr id="206" name="Picture 16">
          <a:extLst>
            <a:ext uri="{FF2B5EF4-FFF2-40B4-BE49-F238E27FC236}">
              <a16:creationId xmlns:a16="http://schemas.microsoft.com/office/drawing/2014/main" id="{00000000-0008-0000-0900-0000CE000000}"/>
            </a:ext>
          </a:extLst>
        </xdr:cNvPr>
        <xdr:cNvPicPr>
          <a:picLocks noChangeAspect="1" noChangeArrowheads="1"/>
        </xdr:cNvPicPr>
      </xdr:nvPicPr>
      <xdr:blipFill>
        <a:blip xmlns:r="http://schemas.openxmlformats.org/officeDocument/2006/relationships" r:embed="rId26">
          <a:clrChange>
            <a:clrFrom>
              <a:srgbClr val="FFFFFF"/>
            </a:clrFrom>
            <a:clrTo>
              <a:srgbClr val="FFFFFF">
                <a:alpha val="0"/>
              </a:srgbClr>
            </a:clrTo>
          </a:clrChange>
        </a:blip>
        <a:srcRect/>
        <a:stretch>
          <a:fillRect/>
        </a:stretch>
      </xdr:blipFill>
      <xdr:spPr bwMode="auto">
        <a:xfrm>
          <a:off x="8489577" y="221858542"/>
          <a:ext cx="594360" cy="204844"/>
        </a:xfrm>
        <a:prstGeom prst="rect">
          <a:avLst/>
        </a:prstGeom>
        <a:noFill/>
      </xdr:spPr>
    </xdr:pic>
    <xdr:clientData/>
  </xdr:twoCellAnchor>
  <xdr:twoCellAnchor>
    <xdr:from>
      <xdr:col>0</xdr:col>
      <xdr:colOff>26894</xdr:colOff>
      <xdr:row>1144</xdr:row>
      <xdr:rowOff>35859</xdr:rowOff>
    </xdr:from>
    <xdr:to>
      <xdr:col>2</xdr:col>
      <xdr:colOff>49754</xdr:colOff>
      <xdr:row>1146</xdr:row>
      <xdr:rowOff>180639</xdr:rowOff>
    </xdr:to>
    <xdr:pic>
      <xdr:nvPicPr>
        <xdr:cNvPr id="207" name="Picture 17">
          <a:extLst>
            <a:ext uri="{FF2B5EF4-FFF2-40B4-BE49-F238E27FC236}">
              <a16:creationId xmlns:a16="http://schemas.microsoft.com/office/drawing/2014/main" id="{00000000-0008-0000-0900-0000CF000000}"/>
            </a:ext>
          </a:extLst>
        </xdr:cNvPr>
        <xdr:cNvPicPr>
          <a:picLocks noChangeAspect="1" noChangeArrowheads="1"/>
        </xdr:cNvPicPr>
      </xdr:nvPicPr>
      <xdr:blipFill>
        <a:blip xmlns:r="http://schemas.openxmlformats.org/officeDocument/2006/relationships" r:embed="rId27">
          <a:clrChange>
            <a:clrFrom>
              <a:srgbClr val="FFFFFF"/>
            </a:clrFrom>
            <a:clrTo>
              <a:srgbClr val="FFFFFF">
                <a:alpha val="0"/>
              </a:srgbClr>
            </a:clrTo>
          </a:clrChange>
        </a:blip>
        <a:srcRect/>
        <a:stretch>
          <a:fillRect/>
        </a:stretch>
      </xdr:blipFill>
      <xdr:spPr bwMode="auto">
        <a:xfrm>
          <a:off x="26894" y="192938400"/>
          <a:ext cx="1950272" cy="584051"/>
        </a:xfrm>
        <a:prstGeom prst="rect">
          <a:avLst/>
        </a:prstGeom>
        <a:noFill/>
      </xdr:spPr>
    </xdr:pic>
    <xdr:clientData/>
  </xdr:twoCellAnchor>
  <xdr:twoCellAnchor>
    <xdr:from>
      <xdr:col>1</xdr:col>
      <xdr:colOff>89646</xdr:colOff>
      <xdr:row>1157</xdr:row>
      <xdr:rowOff>26894</xdr:rowOff>
    </xdr:from>
    <xdr:to>
      <xdr:col>4</xdr:col>
      <xdr:colOff>134472</xdr:colOff>
      <xdr:row>1158</xdr:row>
      <xdr:rowOff>71717</xdr:rowOff>
    </xdr:to>
    <xdr:pic>
      <xdr:nvPicPr>
        <xdr:cNvPr id="208" name="Picture 28">
          <a:extLst>
            <a:ext uri="{FF2B5EF4-FFF2-40B4-BE49-F238E27FC236}">
              <a16:creationId xmlns:a16="http://schemas.microsoft.com/office/drawing/2014/main" id="{00000000-0008-0000-0900-0000D000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a:stretch>
          <a:fillRect/>
        </a:stretch>
      </xdr:blipFill>
      <xdr:spPr bwMode="auto">
        <a:xfrm>
          <a:off x="1030940" y="195645741"/>
          <a:ext cx="2877673" cy="242047"/>
        </a:xfrm>
        <a:prstGeom prst="rect">
          <a:avLst/>
        </a:prstGeom>
        <a:noFill/>
      </xdr:spPr>
    </xdr:pic>
    <xdr:clientData/>
  </xdr:twoCellAnchor>
  <xdr:twoCellAnchor>
    <xdr:from>
      <xdr:col>0</xdr:col>
      <xdr:colOff>107577</xdr:colOff>
      <xdr:row>1154</xdr:row>
      <xdr:rowOff>116540</xdr:rowOff>
    </xdr:from>
    <xdr:to>
      <xdr:col>0</xdr:col>
      <xdr:colOff>866713</xdr:colOff>
      <xdr:row>1156</xdr:row>
      <xdr:rowOff>26894</xdr:rowOff>
    </xdr:to>
    <xdr:pic>
      <xdr:nvPicPr>
        <xdr:cNvPr id="209" name="Picture 28">
          <a:extLst>
            <a:ext uri="{FF2B5EF4-FFF2-40B4-BE49-F238E27FC236}">
              <a16:creationId xmlns:a16="http://schemas.microsoft.com/office/drawing/2014/main" id="{00000000-0008-0000-0900-0000D100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107577" y="195143716"/>
          <a:ext cx="759136" cy="304802"/>
        </a:xfrm>
        <a:prstGeom prst="rect">
          <a:avLst/>
        </a:prstGeom>
        <a:noFill/>
      </xdr:spPr>
    </xdr:pic>
    <xdr:clientData/>
  </xdr:twoCellAnchor>
  <xdr:twoCellAnchor>
    <xdr:from>
      <xdr:col>0</xdr:col>
      <xdr:colOff>0</xdr:colOff>
      <xdr:row>1160</xdr:row>
      <xdr:rowOff>116541</xdr:rowOff>
    </xdr:from>
    <xdr:to>
      <xdr:col>2</xdr:col>
      <xdr:colOff>340658</xdr:colOff>
      <xdr:row>1162</xdr:row>
      <xdr:rowOff>154641</xdr:rowOff>
    </xdr:to>
    <xdr:pic>
      <xdr:nvPicPr>
        <xdr:cNvPr id="210" name="Picture 2">
          <a:extLst>
            <a:ext uri="{FF2B5EF4-FFF2-40B4-BE49-F238E27FC236}">
              <a16:creationId xmlns:a16="http://schemas.microsoft.com/office/drawing/2014/main" id="{00000000-0008-0000-0900-0000D2000000}"/>
            </a:ext>
          </a:extLst>
        </xdr:cNvPr>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blip>
        <a:srcRect/>
        <a:stretch>
          <a:fillRect/>
        </a:stretch>
      </xdr:blipFill>
      <xdr:spPr bwMode="auto">
        <a:xfrm>
          <a:off x="0" y="232329317"/>
          <a:ext cx="2268070" cy="432548"/>
        </a:xfrm>
        <a:prstGeom prst="rect">
          <a:avLst/>
        </a:prstGeom>
        <a:noFill/>
      </xdr:spPr>
    </xdr:pic>
    <xdr:clientData/>
  </xdr:twoCellAnchor>
  <xdr:twoCellAnchor>
    <xdr:from>
      <xdr:col>1</xdr:col>
      <xdr:colOff>408342</xdr:colOff>
      <xdr:row>1206</xdr:row>
      <xdr:rowOff>231738</xdr:rowOff>
    </xdr:from>
    <xdr:to>
      <xdr:col>1</xdr:col>
      <xdr:colOff>537882</xdr:colOff>
      <xdr:row>1208</xdr:row>
      <xdr:rowOff>6276</xdr:rowOff>
    </xdr:to>
    <xdr:pic>
      <xdr:nvPicPr>
        <xdr:cNvPr id="218" name="Picture 7">
          <a:extLst>
            <a:ext uri="{FF2B5EF4-FFF2-40B4-BE49-F238E27FC236}">
              <a16:creationId xmlns:a16="http://schemas.microsoft.com/office/drawing/2014/main" id="{00000000-0008-0000-0900-0000DA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49636" y="111340303"/>
          <a:ext cx="129540" cy="204844"/>
        </a:xfrm>
        <a:prstGeom prst="rect">
          <a:avLst/>
        </a:prstGeom>
        <a:noFill/>
      </xdr:spPr>
    </xdr:pic>
    <xdr:clientData/>
  </xdr:twoCellAnchor>
  <xdr:twoCellAnchor>
    <xdr:from>
      <xdr:col>3</xdr:col>
      <xdr:colOff>395343</xdr:colOff>
      <xdr:row>1206</xdr:row>
      <xdr:rowOff>231737</xdr:rowOff>
    </xdr:from>
    <xdr:to>
      <xdr:col>3</xdr:col>
      <xdr:colOff>524883</xdr:colOff>
      <xdr:row>1208</xdr:row>
      <xdr:rowOff>6275</xdr:rowOff>
    </xdr:to>
    <xdr:pic>
      <xdr:nvPicPr>
        <xdr:cNvPr id="219" name="Picture 8">
          <a:extLst>
            <a:ext uri="{FF2B5EF4-FFF2-40B4-BE49-F238E27FC236}">
              <a16:creationId xmlns:a16="http://schemas.microsoft.com/office/drawing/2014/main" id="{00000000-0008-0000-0900-0000DB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308872" y="111340302"/>
          <a:ext cx="129540" cy="204844"/>
        </a:xfrm>
        <a:prstGeom prst="rect">
          <a:avLst/>
        </a:prstGeom>
        <a:noFill/>
      </xdr:spPr>
    </xdr:pic>
    <xdr:clientData/>
  </xdr:twoCellAnchor>
  <xdr:twoCellAnchor>
    <xdr:from>
      <xdr:col>5</xdr:col>
      <xdr:colOff>214704</xdr:colOff>
      <xdr:row>1207</xdr:row>
      <xdr:rowOff>4930</xdr:rowOff>
    </xdr:from>
    <xdr:to>
      <xdr:col>5</xdr:col>
      <xdr:colOff>610944</xdr:colOff>
      <xdr:row>1208</xdr:row>
      <xdr:rowOff>12550</xdr:rowOff>
    </xdr:to>
    <xdr:pic>
      <xdr:nvPicPr>
        <xdr:cNvPr id="220" name="Picture 2">
          <a:extLst>
            <a:ext uri="{FF2B5EF4-FFF2-40B4-BE49-F238E27FC236}">
              <a16:creationId xmlns:a16="http://schemas.microsoft.com/office/drawing/2014/main" id="{00000000-0008-0000-0900-0000DC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795669" y="241603754"/>
          <a:ext cx="396240" cy="204843"/>
        </a:xfrm>
        <a:prstGeom prst="rect">
          <a:avLst/>
        </a:prstGeom>
        <a:noFill/>
      </xdr:spPr>
    </xdr:pic>
    <xdr:clientData/>
  </xdr:twoCellAnchor>
  <xdr:twoCellAnchor>
    <xdr:from>
      <xdr:col>6</xdr:col>
      <xdr:colOff>120576</xdr:colOff>
      <xdr:row>1207</xdr:row>
      <xdr:rowOff>25548</xdr:rowOff>
    </xdr:from>
    <xdr:to>
      <xdr:col>6</xdr:col>
      <xdr:colOff>516816</xdr:colOff>
      <xdr:row>1208</xdr:row>
      <xdr:rowOff>33169</xdr:rowOff>
    </xdr:to>
    <xdr:pic>
      <xdr:nvPicPr>
        <xdr:cNvPr id="221" name="Picture 3">
          <a:extLst>
            <a:ext uri="{FF2B5EF4-FFF2-40B4-BE49-F238E27FC236}">
              <a16:creationId xmlns:a16="http://schemas.microsoft.com/office/drawing/2014/main" id="{00000000-0008-0000-0900-0000DD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08364" y="241624372"/>
          <a:ext cx="396240" cy="204844"/>
        </a:xfrm>
        <a:prstGeom prst="rect">
          <a:avLst/>
        </a:prstGeom>
        <a:noFill/>
      </xdr:spPr>
    </xdr:pic>
    <xdr:clientData/>
  </xdr:twoCellAnchor>
  <xdr:twoCellAnchor>
    <xdr:from>
      <xdr:col>7</xdr:col>
      <xdr:colOff>134470</xdr:colOff>
      <xdr:row>1207</xdr:row>
      <xdr:rowOff>22860</xdr:rowOff>
    </xdr:from>
    <xdr:to>
      <xdr:col>7</xdr:col>
      <xdr:colOff>1163170</xdr:colOff>
      <xdr:row>1208</xdr:row>
      <xdr:rowOff>30480</xdr:rowOff>
    </xdr:to>
    <xdr:pic>
      <xdr:nvPicPr>
        <xdr:cNvPr id="222" name="Picture 4">
          <a:extLst>
            <a:ext uri="{FF2B5EF4-FFF2-40B4-BE49-F238E27FC236}">
              <a16:creationId xmlns:a16="http://schemas.microsoft.com/office/drawing/2014/main" id="{00000000-0008-0000-0900-0000DE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111364507"/>
          <a:ext cx="1028700" cy="204844"/>
        </a:xfrm>
        <a:prstGeom prst="rect">
          <a:avLst/>
        </a:prstGeom>
        <a:noFill/>
      </xdr:spPr>
    </xdr:pic>
    <xdr:clientData/>
  </xdr:twoCellAnchor>
  <xdr:twoCellAnchor>
    <xdr:from>
      <xdr:col>4</xdr:col>
      <xdr:colOff>109369</xdr:colOff>
      <xdr:row>1207</xdr:row>
      <xdr:rowOff>40790</xdr:rowOff>
    </xdr:from>
    <xdr:to>
      <xdr:col>4</xdr:col>
      <xdr:colOff>703281</xdr:colOff>
      <xdr:row>1208</xdr:row>
      <xdr:rowOff>48410</xdr:rowOff>
    </xdr:to>
    <xdr:pic>
      <xdr:nvPicPr>
        <xdr:cNvPr id="223" name="Picture 6">
          <a:extLst>
            <a:ext uri="{FF2B5EF4-FFF2-40B4-BE49-F238E27FC236}">
              <a16:creationId xmlns:a16="http://schemas.microsoft.com/office/drawing/2014/main" id="{00000000-0008-0000-0900-0000DF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883510" y="241639614"/>
          <a:ext cx="593912" cy="204843"/>
        </a:xfrm>
        <a:prstGeom prst="rect">
          <a:avLst/>
        </a:prstGeom>
        <a:noFill/>
      </xdr:spPr>
    </xdr:pic>
    <xdr:clientData/>
  </xdr:twoCellAnchor>
  <xdr:twoCellAnchor>
    <xdr:from>
      <xdr:col>2</xdr:col>
      <xdr:colOff>180190</xdr:colOff>
      <xdr:row>1207</xdr:row>
      <xdr:rowOff>15241</xdr:rowOff>
    </xdr:from>
    <xdr:to>
      <xdr:col>2</xdr:col>
      <xdr:colOff>766930</xdr:colOff>
      <xdr:row>1208</xdr:row>
      <xdr:rowOff>22861</xdr:rowOff>
    </xdr:to>
    <xdr:pic>
      <xdr:nvPicPr>
        <xdr:cNvPr id="224" name="Picture 5">
          <a:extLst>
            <a:ext uri="{FF2B5EF4-FFF2-40B4-BE49-F238E27FC236}">
              <a16:creationId xmlns:a16="http://schemas.microsoft.com/office/drawing/2014/main" id="{00000000-0008-0000-0900-0000E0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07602" y="111356888"/>
          <a:ext cx="586740" cy="204844"/>
        </a:xfrm>
        <a:prstGeom prst="rect">
          <a:avLst/>
        </a:prstGeom>
        <a:noFill/>
      </xdr:spPr>
    </xdr:pic>
    <xdr:clientData/>
  </xdr:twoCellAnchor>
  <xdr:twoCellAnchor>
    <xdr:from>
      <xdr:col>0</xdr:col>
      <xdr:colOff>89648</xdr:colOff>
      <xdr:row>1220</xdr:row>
      <xdr:rowOff>152399</xdr:rowOff>
    </xdr:from>
    <xdr:to>
      <xdr:col>2</xdr:col>
      <xdr:colOff>904988</xdr:colOff>
      <xdr:row>1223</xdr:row>
      <xdr:rowOff>35857</xdr:rowOff>
    </xdr:to>
    <xdr:pic>
      <xdr:nvPicPr>
        <xdr:cNvPr id="225" name="Picture 2">
          <a:extLst>
            <a:ext uri="{FF2B5EF4-FFF2-40B4-BE49-F238E27FC236}">
              <a16:creationId xmlns:a16="http://schemas.microsoft.com/office/drawing/2014/main" id="{00000000-0008-0000-0900-0000E1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89648" y="244512352"/>
          <a:ext cx="2742752" cy="475129"/>
        </a:xfrm>
        <a:prstGeom prst="rect">
          <a:avLst/>
        </a:prstGeom>
        <a:noFill/>
      </xdr:spPr>
    </xdr:pic>
    <xdr:clientData/>
  </xdr:twoCellAnchor>
  <xdr:twoCellAnchor>
    <xdr:from>
      <xdr:col>0</xdr:col>
      <xdr:colOff>89647</xdr:colOff>
      <xdr:row>1229</xdr:row>
      <xdr:rowOff>8965</xdr:rowOff>
    </xdr:from>
    <xdr:to>
      <xdr:col>0</xdr:col>
      <xdr:colOff>851647</xdr:colOff>
      <xdr:row>1230</xdr:row>
      <xdr:rowOff>16586</xdr:rowOff>
    </xdr:to>
    <xdr:pic>
      <xdr:nvPicPr>
        <xdr:cNvPr id="226" name="Picture 1">
          <a:extLst>
            <a:ext uri="{FF2B5EF4-FFF2-40B4-BE49-F238E27FC236}">
              <a16:creationId xmlns:a16="http://schemas.microsoft.com/office/drawing/2014/main" id="{00000000-0008-0000-0900-0000E200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246143930"/>
          <a:ext cx="762000" cy="204844"/>
        </a:xfrm>
        <a:prstGeom prst="rect">
          <a:avLst/>
        </a:prstGeom>
        <a:noFill/>
      </xdr:spPr>
    </xdr:pic>
    <xdr:clientData/>
  </xdr:twoCellAnchor>
  <xdr:twoCellAnchor>
    <xdr:from>
      <xdr:col>1</xdr:col>
      <xdr:colOff>408342</xdr:colOff>
      <xdr:row>1206</xdr:row>
      <xdr:rowOff>231738</xdr:rowOff>
    </xdr:from>
    <xdr:to>
      <xdr:col>1</xdr:col>
      <xdr:colOff>537882</xdr:colOff>
      <xdr:row>1208</xdr:row>
      <xdr:rowOff>6276</xdr:rowOff>
    </xdr:to>
    <xdr:pic>
      <xdr:nvPicPr>
        <xdr:cNvPr id="230" name="Picture 7">
          <a:extLst>
            <a:ext uri="{FF2B5EF4-FFF2-40B4-BE49-F238E27FC236}">
              <a16:creationId xmlns:a16="http://schemas.microsoft.com/office/drawing/2014/main" id="{00000000-0008-0000-0900-0000E6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349636" y="203981573"/>
          <a:ext cx="129540" cy="204844"/>
        </a:xfrm>
        <a:prstGeom prst="rect">
          <a:avLst/>
        </a:prstGeom>
        <a:noFill/>
      </xdr:spPr>
    </xdr:pic>
    <xdr:clientData/>
  </xdr:twoCellAnchor>
  <xdr:twoCellAnchor>
    <xdr:from>
      <xdr:col>3</xdr:col>
      <xdr:colOff>395343</xdr:colOff>
      <xdr:row>1206</xdr:row>
      <xdr:rowOff>231737</xdr:rowOff>
    </xdr:from>
    <xdr:to>
      <xdr:col>3</xdr:col>
      <xdr:colOff>524883</xdr:colOff>
      <xdr:row>1208</xdr:row>
      <xdr:rowOff>6275</xdr:rowOff>
    </xdr:to>
    <xdr:pic>
      <xdr:nvPicPr>
        <xdr:cNvPr id="231" name="Picture 8">
          <a:extLst>
            <a:ext uri="{FF2B5EF4-FFF2-40B4-BE49-F238E27FC236}">
              <a16:creationId xmlns:a16="http://schemas.microsoft.com/office/drawing/2014/main" id="{00000000-0008-0000-0900-0000E700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308872" y="203981572"/>
          <a:ext cx="129540" cy="204844"/>
        </a:xfrm>
        <a:prstGeom prst="rect">
          <a:avLst/>
        </a:prstGeom>
        <a:noFill/>
      </xdr:spPr>
    </xdr:pic>
    <xdr:clientData/>
  </xdr:twoCellAnchor>
  <xdr:twoCellAnchor>
    <xdr:from>
      <xdr:col>7</xdr:col>
      <xdr:colOff>134470</xdr:colOff>
      <xdr:row>1207</xdr:row>
      <xdr:rowOff>22860</xdr:rowOff>
    </xdr:from>
    <xdr:to>
      <xdr:col>7</xdr:col>
      <xdr:colOff>1163170</xdr:colOff>
      <xdr:row>1208</xdr:row>
      <xdr:rowOff>30480</xdr:rowOff>
    </xdr:to>
    <xdr:pic>
      <xdr:nvPicPr>
        <xdr:cNvPr id="234" name="Picture 4">
          <a:extLst>
            <a:ext uri="{FF2B5EF4-FFF2-40B4-BE49-F238E27FC236}">
              <a16:creationId xmlns:a16="http://schemas.microsoft.com/office/drawing/2014/main" id="{00000000-0008-0000-0900-0000EA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204005778"/>
          <a:ext cx="1028700" cy="204843"/>
        </a:xfrm>
        <a:prstGeom prst="rect">
          <a:avLst/>
        </a:prstGeom>
        <a:noFill/>
      </xdr:spPr>
    </xdr:pic>
    <xdr:clientData/>
  </xdr:twoCellAnchor>
  <xdr:twoCellAnchor>
    <xdr:from>
      <xdr:col>0</xdr:col>
      <xdr:colOff>152401</xdr:colOff>
      <xdr:row>1225</xdr:row>
      <xdr:rowOff>80682</xdr:rowOff>
    </xdr:from>
    <xdr:to>
      <xdr:col>2</xdr:col>
      <xdr:colOff>967741</xdr:colOff>
      <xdr:row>1228</xdr:row>
      <xdr:rowOff>12552</xdr:rowOff>
    </xdr:to>
    <xdr:pic>
      <xdr:nvPicPr>
        <xdr:cNvPr id="237" name="Picture 2">
          <a:extLst>
            <a:ext uri="{FF2B5EF4-FFF2-40B4-BE49-F238E27FC236}">
              <a16:creationId xmlns:a16="http://schemas.microsoft.com/office/drawing/2014/main" id="{00000000-0008-0000-0900-0000ED00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152401" y="245426753"/>
          <a:ext cx="2742752" cy="523540"/>
        </a:xfrm>
        <a:prstGeom prst="rect">
          <a:avLst/>
        </a:prstGeom>
        <a:noFill/>
      </xdr:spPr>
    </xdr:pic>
    <xdr:clientData/>
  </xdr:twoCellAnchor>
  <xdr:twoCellAnchor>
    <xdr:from>
      <xdr:col>0</xdr:col>
      <xdr:colOff>0</xdr:colOff>
      <xdr:row>1232</xdr:row>
      <xdr:rowOff>0</xdr:rowOff>
    </xdr:from>
    <xdr:to>
      <xdr:col>1</xdr:col>
      <xdr:colOff>243840</xdr:colOff>
      <xdr:row>1233</xdr:row>
      <xdr:rowOff>7620</xdr:rowOff>
    </xdr:to>
    <xdr:pic>
      <xdr:nvPicPr>
        <xdr:cNvPr id="249" name="Picture 3">
          <a:extLst>
            <a:ext uri="{FF2B5EF4-FFF2-40B4-BE49-F238E27FC236}">
              <a16:creationId xmlns:a16="http://schemas.microsoft.com/office/drawing/2014/main" id="{00000000-0008-0000-0900-0000F900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208913506"/>
          <a:ext cx="1185134" cy="204843"/>
        </a:xfrm>
        <a:prstGeom prst="rect">
          <a:avLst/>
        </a:prstGeom>
        <a:noFill/>
      </xdr:spPr>
    </xdr:pic>
    <xdr:clientData/>
  </xdr:twoCellAnchor>
  <xdr:twoCellAnchor>
    <xdr:from>
      <xdr:col>0</xdr:col>
      <xdr:colOff>0</xdr:colOff>
      <xdr:row>1243</xdr:row>
      <xdr:rowOff>0</xdr:rowOff>
    </xdr:from>
    <xdr:to>
      <xdr:col>2</xdr:col>
      <xdr:colOff>251460</xdr:colOff>
      <xdr:row>1245</xdr:row>
      <xdr:rowOff>38100</xdr:rowOff>
    </xdr:to>
    <xdr:pic>
      <xdr:nvPicPr>
        <xdr:cNvPr id="250" name="Picture 4">
          <a:extLst>
            <a:ext uri="{FF2B5EF4-FFF2-40B4-BE49-F238E27FC236}">
              <a16:creationId xmlns:a16="http://schemas.microsoft.com/office/drawing/2014/main" id="{00000000-0008-0000-0900-0000FA000000}"/>
            </a:ext>
          </a:extLst>
        </xdr:cNvPr>
        <xdr:cNvPicPr>
          <a:picLocks noChangeAspect="1" noChangeArrowheads="1"/>
        </xdr:cNvPicPr>
      </xdr:nvPicPr>
      <xdr:blipFill>
        <a:blip xmlns:r="http://schemas.openxmlformats.org/officeDocument/2006/relationships" r:embed="rId28">
          <a:clrChange>
            <a:clrFrom>
              <a:srgbClr val="FFFFFF"/>
            </a:clrFrom>
            <a:clrTo>
              <a:srgbClr val="FFFFFF">
                <a:alpha val="0"/>
              </a:srgbClr>
            </a:clrTo>
          </a:clrChange>
        </a:blip>
        <a:srcRect/>
        <a:stretch>
          <a:fillRect/>
        </a:stretch>
      </xdr:blipFill>
      <xdr:spPr bwMode="auto">
        <a:xfrm>
          <a:off x="0" y="211082965"/>
          <a:ext cx="2178872" cy="468406"/>
        </a:xfrm>
        <a:prstGeom prst="rect">
          <a:avLst/>
        </a:prstGeom>
        <a:noFill/>
      </xdr:spPr>
    </xdr:pic>
    <xdr:clientData/>
  </xdr:twoCellAnchor>
  <xdr:twoCellAnchor>
    <xdr:from>
      <xdr:col>0</xdr:col>
      <xdr:colOff>0</xdr:colOff>
      <xdr:row>1247</xdr:row>
      <xdr:rowOff>0</xdr:rowOff>
    </xdr:from>
    <xdr:to>
      <xdr:col>1</xdr:col>
      <xdr:colOff>533400</xdr:colOff>
      <xdr:row>1249</xdr:row>
      <xdr:rowOff>0</xdr:rowOff>
    </xdr:to>
    <xdr:pic>
      <xdr:nvPicPr>
        <xdr:cNvPr id="251" name="Picture 5">
          <a:extLst>
            <a:ext uri="{FF2B5EF4-FFF2-40B4-BE49-F238E27FC236}">
              <a16:creationId xmlns:a16="http://schemas.microsoft.com/office/drawing/2014/main" id="{00000000-0008-0000-0900-0000FB000000}"/>
            </a:ext>
          </a:extLst>
        </xdr:cNvPr>
        <xdr:cNvPicPr>
          <a:picLocks noChangeAspect="1" noChangeArrowheads="1"/>
        </xdr:cNvPicPr>
      </xdr:nvPicPr>
      <xdr:blipFill>
        <a:blip xmlns:r="http://schemas.openxmlformats.org/officeDocument/2006/relationships" r:embed="rId20">
          <a:clrChange>
            <a:clrFrom>
              <a:srgbClr val="FFFFFF"/>
            </a:clrFrom>
            <a:clrTo>
              <a:srgbClr val="FFFFFF">
                <a:alpha val="0"/>
              </a:srgbClr>
            </a:clrTo>
          </a:clrChange>
        </a:blip>
        <a:srcRect/>
        <a:stretch>
          <a:fillRect/>
        </a:stretch>
      </xdr:blipFill>
      <xdr:spPr bwMode="auto">
        <a:xfrm>
          <a:off x="0" y="211907718"/>
          <a:ext cx="1474694" cy="394447"/>
        </a:xfrm>
        <a:prstGeom prst="rect">
          <a:avLst/>
        </a:prstGeom>
        <a:noFill/>
      </xdr:spPr>
    </xdr:pic>
    <xdr:clientData/>
  </xdr:twoCellAnchor>
  <xdr:twoCellAnchor>
    <xdr:from>
      <xdr:col>0</xdr:col>
      <xdr:colOff>0</xdr:colOff>
      <xdr:row>1249</xdr:row>
      <xdr:rowOff>80682</xdr:rowOff>
    </xdr:from>
    <xdr:to>
      <xdr:col>0</xdr:col>
      <xdr:colOff>922020</xdr:colOff>
      <xdr:row>1251</xdr:row>
      <xdr:rowOff>129540</xdr:rowOff>
    </xdr:to>
    <xdr:pic>
      <xdr:nvPicPr>
        <xdr:cNvPr id="252" name="Picture 6">
          <a:extLst>
            <a:ext uri="{FF2B5EF4-FFF2-40B4-BE49-F238E27FC236}">
              <a16:creationId xmlns:a16="http://schemas.microsoft.com/office/drawing/2014/main" id="{00000000-0008-0000-0900-0000FC000000}"/>
            </a:ext>
          </a:extLst>
        </xdr:cNvPr>
        <xdr:cNvPicPr>
          <a:picLocks noChangeAspect="1" noChangeArrowheads="1"/>
        </xdr:cNvPicPr>
      </xdr:nvPicPr>
      <xdr:blipFill>
        <a:blip xmlns:r="http://schemas.openxmlformats.org/officeDocument/2006/relationships" r:embed="rId23">
          <a:clrChange>
            <a:clrFrom>
              <a:srgbClr val="FFFFFF"/>
            </a:clrFrom>
            <a:clrTo>
              <a:srgbClr val="FFFFFF">
                <a:alpha val="0"/>
              </a:srgbClr>
            </a:clrTo>
          </a:clrChange>
        </a:blip>
        <a:srcRect/>
        <a:stretch>
          <a:fillRect/>
        </a:stretch>
      </xdr:blipFill>
      <xdr:spPr bwMode="auto">
        <a:xfrm>
          <a:off x="0" y="250195976"/>
          <a:ext cx="922020" cy="443305"/>
        </a:xfrm>
        <a:prstGeom prst="rect">
          <a:avLst/>
        </a:prstGeom>
        <a:noFill/>
      </xdr:spPr>
    </xdr:pic>
    <xdr:clientData/>
  </xdr:twoCellAnchor>
  <xdr:twoCellAnchor>
    <xdr:from>
      <xdr:col>0</xdr:col>
      <xdr:colOff>412378</xdr:colOff>
      <xdr:row>1254</xdr:row>
      <xdr:rowOff>71717</xdr:rowOff>
    </xdr:from>
    <xdr:to>
      <xdr:col>1</xdr:col>
      <xdr:colOff>800998</xdr:colOff>
      <xdr:row>1257</xdr:row>
      <xdr:rowOff>4033</xdr:rowOff>
    </xdr:to>
    <xdr:pic>
      <xdr:nvPicPr>
        <xdr:cNvPr id="253" name="Picture 7">
          <a:extLst>
            <a:ext uri="{FF2B5EF4-FFF2-40B4-BE49-F238E27FC236}">
              <a16:creationId xmlns:a16="http://schemas.microsoft.com/office/drawing/2014/main" id="{00000000-0008-0000-0900-0000FD000000}"/>
            </a:ext>
          </a:extLst>
        </xdr:cNvPr>
        <xdr:cNvPicPr>
          <a:picLocks noChangeAspect="1" noChangeArrowheads="1"/>
        </xdr:cNvPicPr>
      </xdr:nvPicPr>
      <xdr:blipFill>
        <a:blip xmlns:r="http://schemas.openxmlformats.org/officeDocument/2006/relationships" r:embed="rId21">
          <a:clrChange>
            <a:clrFrom>
              <a:srgbClr val="FFFFFF"/>
            </a:clrFrom>
            <a:clrTo>
              <a:srgbClr val="FFFFFF">
                <a:alpha val="0"/>
              </a:srgbClr>
            </a:clrTo>
          </a:clrChange>
        </a:blip>
        <a:srcRect/>
        <a:stretch>
          <a:fillRect/>
        </a:stretch>
      </xdr:blipFill>
      <xdr:spPr bwMode="auto">
        <a:xfrm>
          <a:off x="412378" y="213593082"/>
          <a:ext cx="1329914" cy="523986"/>
        </a:xfrm>
        <a:prstGeom prst="rect">
          <a:avLst/>
        </a:prstGeom>
        <a:noFill/>
      </xdr:spPr>
    </xdr:pic>
    <xdr:clientData/>
  </xdr:twoCellAnchor>
  <xdr:twoCellAnchor>
    <xdr:from>
      <xdr:col>0</xdr:col>
      <xdr:colOff>116541</xdr:colOff>
      <xdr:row>1257</xdr:row>
      <xdr:rowOff>188258</xdr:rowOff>
    </xdr:from>
    <xdr:to>
      <xdr:col>2</xdr:col>
      <xdr:colOff>139401</xdr:colOff>
      <xdr:row>1260</xdr:row>
      <xdr:rowOff>180638</xdr:rowOff>
    </xdr:to>
    <xdr:pic>
      <xdr:nvPicPr>
        <xdr:cNvPr id="254" name="Picture 17">
          <a:extLst>
            <a:ext uri="{FF2B5EF4-FFF2-40B4-BE49-F238E27FC236}">
              <a16:creationId xmlns:a16="http://schemas.microsoft.com/office/drawing/2014/main" id="{00000000-0008-0000-0900-0000FE000000}"/>
            </a:ext>
          </a:extLst>
        </xdr:cNvPr>
        <xdr:cNvPicPr>
          <a:picLocks noChangeAspect="1" noChangeArrowheads="1"/>
        </xdr:cNvPicPr>
      </xdr:nvPicPr>
      <xdr:blipFill>
        <a:blip xmlns:r="http://schemas.openxmlformats.org/officeDocument/2006/relationships" r:embed="rId27">
          <a:clrChange>
            <a:clrFrom>
              <a:srgbClr val="FFFFFF"/>
            </a:clrFrom>
            <a:clrTo>
              <a:srgbClr val="FFFFFF">
                <a:alpha val="0"/>
              </a:srgbClr>
            </a:clrTo>
          </a:clrChange>
        </a:blip>
        <a:srcRect/>
        <a:stretch>
          <a:fillRect/>
        </a:stretch>
      </xdr:blipFill>
      <xdr:spPr bwMode="auto">
        <a:xfrm>
          <a:off x="116541" y="214301293"/>
          <a:ext cx="1950272" cy="584051"/>
        </a:xfrm>
        <a:prstGeom prst="rect">
          <a:avLst/>
        </a:prstGeom>
        <a:noFill/>
      </xdr:spPr>
    </xdr:pic>
    <xdr:clientData/>
  </xdr:twoCellAnchor>
  <xdr:twoCellAnchor>
    <xdr:from>
      <xdr:col>0</xdr:col>
      <xdr:colOff>0</xdr:colOff>
      <xdr:row>1234</xdr:row>
      <xdr:rowOff>0</xdr:rowOff>
    </xdr:from>
    <xdr:to>
      <xdr:col>4</xdr:col>
      <xdr:colOff>678180</xdr:colOff>
      <xdr:row>1235</xdr:row>
      <xdr:rowOff>152400</xdr:rowOff>
    </xdr:to>
    <xdr:pic>
      <xdr:nvPicPr>
        <xdr:cNvPr id="255" name="Picture 8">
          <a:extLst>
            <a:ext uri="{FF2B5EF4-FFF2-40B4-BE49-F238E27FC236}">
              <a16:creationId xmlns:a16="http://schemas.microsoft.com/office/drawing/2014/main" id="{00000000-0008-0000-0900-0000FF00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a:stretch>
          <a:fillRect/>
        </a:stretch>
      </xdr:blipFill>
      <xdr:spPr bwMode="auto">
        <a:xfrm>
          <a:off x="0" y="209307953"/>
          <a:ext cx="4452321" cy="349623"/>
        </a:xfrm>
        <a:prstGeom prst="rect">
          <a:avLst/>
        </a:prstGeom>
        <a:noFill/>
      </xdr:spPr>
    </xdr:pic>
    <xdr:clientData/>
  </xdr:twoCellAnchor>
  <xdr:twoCellAnchor>
    <xdr:from>
      <xdr:col>0</xdr:col>
      <xdr:colOff>89648</xdr:colOff>
      <xdr:row>1236</xdr:row>
      <xdr:rowOff>125506</xdr:rowOff>
    </xdr:from>
    <xdr:to>
      <xdr:col>0</xdr:col>
      <xdr:colOff>826015</xdr:colOff>
      <xdr:row>1238</xdr:row>
      <xdr:rowOff>62753</xdr:rowOff>
    </xdr:to>
    <xdr:pic>
      <xdr:nvPicPr>
        <xdr:cNvPr id="256" name="Picture 8">
          <a:extLst>
            <a:ext uri="{FF2B5EF4-FFF2-40B4-BE49-F238E27FC236}">
              <a16:creationId xmlns:a16="http://schemas.microsoft.com/office/drawing/2014/main" id="{00000000-0008-0000-0900-00000001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r="83460"/>
        <a:stretch>
          <a:fillRect/>
        </a:stretch>
      </xdr:blipFill>
      <xdr:spPr bwMode="auto">
        <a:xfrm>
          <a:off x="89648" y="209827906"/>
          <a:ext cx="736367" cy="331694"/>
        </a:xfrm>
        <a:prstGeom prst="rect">
          <a:avLst/>
        </a:prstGeom>
        <a:noFill/>
      </xdr:spPr>
    </xdr:pic>
    <xdr:clientData/>
  </xdr:twoCellAnchor>
  <xdr:twoCellAnchor>
    <xdr:from>
      <xdr:col>0</xdr:col>
      <xdr:colOff>125506</xdr:colOff>
      <xdr:row>1238</xdr:row>
      <xdr:rowOff>143436</xdr:rowOff>
    </xdr:from>
    <xdr:to>
      <xdr:col>0</xdr:col>
      <xdr:colOff>862309</xdr:colOff>
      <xdr:row>1240</xdr:row>
      <xdr:rowOff>17930</xdr:rowOff>
    </xdr:to>
    <xdr:pic>
      <xdr:nvPicPr>
        <xdr:cNvPr id="257" name="Picture 28">
          <a:extLst>
            <a:ext uri="{FF2B5EF4-FFF2-40B4-BE49-F238E27FC236}">
              <a16:creationId xmlns:a16="http://schemas.microsoft.com/office/drawing/2014/main" id="{00000000-0008-0000-0900-000001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125506" y="210240283"/>
          <a:ext cx="736803" cy="268941"/>
        </a:xfrm>
        <a:prstGeom prst="rect">
          <a:avLst/>
        </a:prstGeom>
        <a:noFill/>
      </xdr:spPr>
    </xdr:pic>
    <xdr:clientData/>
  </xdr:twoCellAnchor>
  <xdr:twoCellAnchor>
    <xdr:from>
      <xdr:col>4</xdr:col>
      <xdr:colOff>184851</xdr:colOff>
      <xdr:row>1236</xdr:row>
      <xdr:rowOff>88904</xdr:rowOff>
    </xdr:from>
    <xdr:to>
      <xdr:col>4</xdr:col>
      <xdr:colOff>690282</xdr:colOff>
      <xdr:row>1238</xdr:row>
      <xdr:rowOff>89646</xdr:rowOff>
    </xdr:to>
    <xdr:pic>
      <xdr:nvPicPr>
        <xdr:cNvPr id="258" name="Picture 8">
          <a:extLst>
            <a:ext uri="{FF2B5EF4-FFF2-40B4-BE49-F238E27FC236}">
              <a16:creationId xmlns:a16="http://schemas.microsoft.com/office/drawing/2014/main" id="{00000000-0008-0000-0900-000002010000}"/>
            </a:ext>
          </a:extLst>
        </xdr:cNvPr>
        <xdr:cNvPicPr>
          <a:picLocks noChangeAspect="1" noChangeArrowheads="1"/>
        </xdr:cNvPicPr>
      </xdr:nvPicPr>
      <xdr:blipFill>
        <a:blip xmlns:r="http://schemas.openxmlformats.org/officeDocument/2006/relationships" r:embed="rId32">
          <a:clrChange>
            <a:clrFrom>
              <a:srgbClr val="FFFFFF"/>
            </a:clrFrom>
            <a:clrTo>
              <a:srgbClr val="FFFFFF">
                <a:alpha val="0"/>
              </a:srgbClr>
            </a:clrTo>
          </a:clrChange>
        </a:blip>
        <a:srcRect l="63203" r="25929"/>
        <a:stretch>
          <a:fillRect/>
        </a:stretch>
      </xdr:blipFill>
      <xdr:spPr bwMode="auto">
        <a:xfrm>
          <a:off x="3958992" y="247604433"/>
          <a:ext cx="505431" cy="395189"/>
        </a:xfrm>
        <a:prstGeom prst="rect">
          <a:avLst/>
        </a:prstGeom>
        <a:noFill/>
      </xdr:spPr>
    </xdr:pic>
    <xdr:clientData/>
  </xdr:twoCellAnchor>
  <xdr:twoCellAnchor>
    <xdr:from>
      <xdr:col>2</xdr:col>
      <xdr:colOff>180190</xdr:colOff>
      <xdr:row>1207</xdr:row>
      <xdr:rowOff>15241</xdr:rowOff>
    </xdr:from>
    <xdr:to>
      <xdr:col>2</xdr:col>
      <xdr:colOff>766930</xdr:colOff>
      <xdr:row>1208</xdr:row>
      <xdr:rowOff>22861</xdr:rowOff>
    </xdr:to>
    <xdr:pic>
      <xdr:nvPicPr>
        <xdr:cNvPr id="259" name="Picture 5">
          <a:extLst>
            <a:ext uri="{FF2B5EF4-FFF2-40B4-BE49-F238E27FC236}">
              <a16:creationId xmlns:a16="http://schemas.microsoft.com/office/drawing/2014/main" id="{00000000-0008-0000-0900-00000301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07602" y="111356888"/>
          <a:ext cx="586740" cy="204844"/>
        </a:xfrm>
        <a:prstGeom prst="rect">
          <a:avLst/>
        </a:prstGeom>
        <a:noFill/>
      </xdr:spPr>
    </xdr:pic>
    <xdr:clientData/>
  </xdr:twoCellAnchor>
  <xdr:twoCellAnchor>
    <xdr:from>
      <xdr:col>0</xdr:col>
      <xdr:colOff>259977</xdr:colOff>
      <xdr:row>1471</xdr:row>
      <xdr:rowOff>8965</xdr:rowOff>
    </xdr:from>
    <xdr:to>
      <xdr:col>2</xdr:col>
      <xdr:colOff>732417</xdr:colOff>
      <xdr:row>1473</xdr:row>
      <xdr:rowOff>16585</xdr:rowOff>
    </xdr:to>
    <xdr:pic>
      <xdr:nvPicPr>
        <xdr:cNvPr id="21" name="Picture 11">
          <a:extLst>
            <a:ext uri="{FF2B5EF4-FFF2-40B4-BE49-F238E27FC236}">
              <a16:creationId xmlns:a16="http://schemas.microsoft.com/office/drawing/2014/main" id="{00000000-0008-0000-0900-000015000000}"/>
            </a:ext>
          </a:extLst>
        </xdr:cNvPr>
        <xdr:cNvPicPr>
          <a:picLocks noChangeAspect="1" noChangeArrowheads="1"/>
        </xdr:cNvPicPr>
      </xdr:nvPicPr>
      <xdr:blipFill>
        <a:blip xmlns:r="http://schemas.openxmlformats.org/officeDocument/2006/relationships" r:embed="rId33">
          <a:clrChange>
            <a:clrFrom>
              <a:srgbClr val="FFFFFF"/>
            </a:clrFrom>
            <a:clrTo>
              <a:srgbClr val="FFFFFF">
                <a:alpha val="0"/>
              </a:srgbClr>
            </a:clrTo>
          </a:clrChange>
        </a:blip>
        <a:srcRect/>
        <a:stretch>
          <a:fillRect/>
        </a:stretch>
      </xdr:blipFill>
      <xdr:spPr bwMode="auto">
        <a:xfrm>
          <a:off x="259977" y="293836165"/>
          <a:ext cx="2399852" cy="402067"/>
        </a:xfrm>
        <a:prstGeom prst="rect">
          <a:avLst/>
        </a:prstGeom>
        <a:noFill/>
      </xdr:spPr>
    </xdr:pic>
    <xdr:clientData/>
  </xdr:twoCellAnchor>
  <xdr:twoCellAnchor>
    <xdr:from>
      <xdr:col>0</xdr:col>
      <xdr:colOff>394447</xdr:colOff>
      <xdr:row>1466</xdr:row>
      <xdr:rowOff>8964</xdr:rowOff>
    </xdr:from>
    <xdr:to>
      <xdr:col>0</xdr:col>
      <xdr:colOff>531607</xdr:colOff>
      <xdr:row>1467</xdr:row>
      <xdr:rowOff>16584</xdr:rowOff>
    </xdr:to>
    <xdr:pic>
      <xdr:nvPicPr>
        <xdr:cNvPr id="36" name="Picture 16">
          <a:extLst>
            <a:ext uri="{FF2B5EF4-FFF2-40B4-BE49-F238E27FC236}">
              <a16:creationId xmlns:a16="http://schemas.microsoft.com/office/drawing/2014/main" id="{00000000-0008-0000-0900-000024000000}"/>
            </a:ext>
          </a:extLst>
        </xdr:cNvPr>
        <xdr:cNvPicPr>
          <a:picLocks noChangeAspect="1" noChangeArrowheads="1"/>
        </xdr:cNvPicPr>
      </xdr:nvPicPr>
      <xdr:blipFill>
        <a:blip xmlns:r="http://schemas.openxmlformats.org/officeDocument/2006/relationships" r:embed="rId34">
          <a:clrChange>
            <a:clrFrom>
              <a:srgbClr val="FFFFFF"/>
            </a:clrFrom>
            <a:clrTo>
              <a:srgbClr val="FFFFFF">
                <a:alpha val="0"/>
              </a:srgbClr>
            </a:clrTo>
          </a:clrChange>
        </a:blip>
        <a:srcRect/>
        <a:stretch>
          <a:fillRect/>
        </a:stretch>
      </xdr:blipFill>
      <xdr:spPr bwMode="auto">
        <a:xfrm>
          <a:off x="394447" y="293047270"/>
          <a:ext cx="137160" cy="204843"/>
        </a:xfrm>
        <a:prstGeom prst="rect">
          <a:avLst/>
        </a:prstGeom>
        <a:noFill/>
      </xdr:spPr>
    </xdr:pic>
    <xdr:clientData/>
  </xdr:twoCellAnchor>
  <xdr:twoCellAnchor>
    <xdr:from>
      <xdr:col>0</xdr:col>
      <xdr:colOff>319416</xdr:colOff>
      <xdr:row>1473</xdr:row>
      <xdr:rowOff>80682</xdr:rowOff>
    </xdr:from>
    <xdr:to>
      <xdr:col>0</xdr:col>
      <xdr:colOff>769623</xdr:colOff>
      <xdr:row>1475</xdr:row>
      <xdr:rowOff>88302</xdr:rowOff>
    </xdr:to>
    <xdr:pic>
      <xdr:nvPicPr>
        <xdr:cNvPr id="260" name="Picture 11">
          <a:extLst>
            <a:ext uri="{FF2B5EF4-FFF2-40B4-BE49-F238E27FC236}">
              <a16:creationId xmlns:a16="http://schemas.microsoft.com/office/drawing/2014/main" id="{00000000-0008-0000-0900-000004010000}"/>
            </a:ext>
          </a:extLst>
        </xdr:cNvPr>
        <xdr:cNvPicPr>
          <a:picLocks noChangeAspect="1" noChangeArrowheads="1"/>
        </xdr:cNvPicPr>
      </xdr:nvPicPr>
      <xdr:blipFill>
        <a:blip xmlns:r="http://schemas.openxmlformats.org/officeDocument/2006/relationships" r:embed="rId33">
          <a:clrChange>
            <a:clrFrom>
              <a:srgbClr val="FFFFFF"/>
            </a:clrFrom>
            <a:clrTo>
              <a:srgbClr val="FFFFFF">
                <a:alpha val="0"/>
              </a:srgbClr>
            </a:clrTo>
          </a:clrChange>
        </a:blip>
        <a:srcRect l="34603" r="46638"/>
        <a:stretch>
          <a:fillRect/>
        </a:stretch>
      </xdr:blipFill>
      <xdr:spPr bwMode="auto">
        <a:xfrm>
          <a:off x="319416" y="294302329"/>
          <a:ext cx="450207" cy="402067"/>
        </a:xfrm>
        <a:prstGeom prst="rect">
          <a:avLst/>
        </a:prstGeom>
        <a:noFill/>
      </xdr:spPr>
    </xdr:pic>
    <xdr:clientData/>
  </xdr:twoCellAnchor>
  <xdr:twoCellAnchor>
    <xdr:from>
      <xdr:col>0</xdr:col>
      <xdr:colOff>80683</xdr:colOff>
      <xdr:row>1475</xdr:row>
      <xdr:rowOff>152399</xdr:rowOff>
    </xdr:from>
    <xdr:to>
      <xdr:col>0</xdr:col>
      <xdr:colOff>783622</xdr:colOff>
      <xdr:row>1477</xdr:row>
      <xdr:rowOff>160019</xdr:rowOff>
    </xdr:to>
    <xdr:pic>
      <xdr:nvPicPr>
        <xdr:cNvPr id="261" name="Picture 11">
          <a:extLst>
            <a:ext uri="{FF2B5EF4-FFF2-40B4-BE49-F238E27FC236}">
              <a16:creationId xmlns:a16="http://schemas.microsoft.com/office/drawing/2014/main" id="{00000000-0008-0000-0900-000005010000}"/>
            </a:ext>
          </a:extLst>
        </xdr:cNvPr>
        <xdr:cNvPicPr>
          <a:picLocks noChangeAspect="1" noChangeArrowheads="1"/>
        </xdr:cNvPicPr>
      </xdr:nvPicPr>
      <xdr:blipFill>
        <a:blip xmlns:r="http://schemas.openxmlformats.org/officeDocument/2006/relationships" r:embed="rId33">
          <a:clrChange>
            <a:clrFrom>
              <a:srgbClr val="FFFFFF"/>
            </a:clrFrom>
            <a:clrTo>
              <a:srgbClr val="FFFFFF">
                <a:alpha val="0"/>
              </a:srgbClr>
            </a:clrTo>
          </a:clrChange>
        </a:blip>
        <a:srcRect r="70710"/>
        <a:stretch>
          <a:fillRect/>
        </a:stretch>
      </xdr:blipFill>
      <xdr:spPr bwMode="auto">
        <a:xfrm>
          <a:off x="80683" y="294965717"/>
          <a:ext cx="702939" cy="402067"/>
        </a:xfrm>
        <a:prstGeom prst="rect">
          <a:avLst/>
        </a:prstGeom>
        <a:noFill/>
      </xdr:spPr>
    </xdr:pic>
    <xdr:clientData/>
  </xdr:twoCellAnchor>
  <xdr:twoCellAnchor>
    <xdr:from>
      <xdr:col>1</xdr:col>
      <xdr:colOff>327660</xdr:colOff>
      <xdr:row>395</xdr:row>
      <xdr:rowOff>7620</xdr:rowOff>
    </xdr:from>
    <xdr:to>
      <xdr:col>1</xdr:col>
      <xdr:colOff>457200</xdr:colOff>
      <xdr:row>396</xdr:row>
      <xdr:rowOff>15240</xdr:rowOff>
    </xdr:to>
    <xdr:pic>
      <xdr:nvPicPr>
        <xdr:cNvPr id="276" name="Picture 7">
          <a:extLst>
            <a:ext uri="{FF2B5EF4-FFF2-40B4-BE49-F238E27FC236}">
              <a16:creationId xmlns:a16="http://schemas.microsoft.com/office/drawing/2014/main" id="{00000000-0008-0000-0900-00001401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85629526"/>
          <a:ext cx="129540" cy="204843"/>
        </a:xfrm>
        <a:prstGeom prst="rect">
          <a:avLst/>
        </a:prstGeom>
        <a:noFill/>
      </xdr:spPr>
    </xdr:pic>
    <xdr:clientData/>
  </xdr:twoCellAnchor>
  <xdr:twoCellAnchor>
    <xdr:from>
      <xdr:col>3</xdr:col>
      <xdr:colOff>350520</xdr:colOff>
      <xdr:row>395</xdr:row>
      <xdr:rowOff>7620</xdr:rowOff>
    </xdr:from>
    <xdr:to>
      <xdr:col>3</xdr:col>
      <xdr:colOff>480060</xdr:colOff>
      <xdr:row>396</xdr:row>
      <xdr:rowOff>15240</xdr:rowOff>
    </xdr:to>
    <xdr:pic>
      <xdr:nvPicPr>
        <xdr:cNvPr id="291" name="Picture 8">
          <a:extLst>
            <a:ext uri="{FF2B5EF4-FFF2-40B4-BE49-F238E27FC236}">
              <a16:creationId xmlns:a16="http://schemas.microsoft.com/office/drawing/2014/main" id="{00000000-0008-0000-0900-00002301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64049" y="85629526"/>
          <a:ext cx="129540" cy="204843"/>
        </a:xfrm>
        <a:prstGeom prst="rect">
          <a:avLst/>
        </a:prstGeom>
        <a:noFill/>
      </xdr:spPr>
    </xdr:pic>
    <xdr:clientData/>
  </xdr:twoCellAnchor>
  <xdr:twoCellAnchor>
    <xdr:from>
      <xdr:col>5</xdr:col>
      <xdr:colOff>223670</xdr:colOff>
      <xdr:row>395</xdr:row>
      <xdr:rowOff>22861</xdr:rowOff>
    </xdr:from>
    <xdr:to>
      <xdr:col>5</xdr:col>
      <xdr:colOff>619910</xdr:colOff>
      <xdr:row>396</xdr:row>
      <xdr:rowOff>30481</xdr:rowOff>
    </xdr:to>
    <xdr:pic>
      <xdr:nvPicPr>
        <xdr:cNvPr id="292" name="Picture 2">
          <a:extLst>
            <a:ext uri="{FF2B5EF4-FFF2-40B4-BE49-F238E27FC236}">
              <a16:creationId xmlns:a16="http://schemas.microsoft.com/office/drawing/2014/main" id="{00000000-0008-0000-0900-00002401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804635" y="79683237"/>
          <a:ext cx="396240" cy="204844"/>
        </a:xfrm>
        <a:prstGeom prst="rect">
          <a:avLst/>
        </a:prstGeom>
        <a:noFill/>
      </xdr:spPr>
    </xdr:pic>
    <xdr:clientData/>
  </xdr:twoCellAnchor>
  <xdr:twoCellAnchor>
    <xdr:from>
      <xdr:col>6</xdr:col>
      <xdr:colOff>156434</xdr:colOff>
      <xdr:row>395</xdr:row>
      <xdr:rowOff>25550</xdr:rowOff>
    </xdr:from>
    <xdr:to>
      <xdr:col>6</xdr:col>
      <xdr:colOff>552674</xdr:colOff>
      <xdr:row>396</xdr:row>
      <xdr:rowOff>33170</xdr:rowOff>
    </xdr:to>
    <xdr:pic>
      <xdr:nvPicPr>
        <xdr:cNvPr id="293" name="Picture 3">
          <a:extLst>
            <a:ext uri="{FF2B5EF4-FFF2-40B4-BE49-F238E27FC236}">
              <a16:creationId xmlns:a16="http://schemas.microsoft.com/office/drawing/2014/main" id="{00000000-0008-0000-0900-0000250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44222" y="79685926"/>
          <a:ext cx="396240" cy="204844"/>
        </a:xfrm>
        <a:prstGeom prst="rect">
          <a:avLst/>
        </a:prstGeom>
        <a:noFill/>
      </xdr:spPr>
    </xdr:pic>
    <xdr:clientData/>
  </xdr:twoCellAnchor>
  <xdr:twoCellAnchor>
    <xdr:from>
      <xdr:col>7</xdr:col>
      <xdr:colOff>134470</xdr:colOff>
      <xdr:row>395</xdr:row>
      <xdr:rowOff>22860</xdr:rowOff>
    </xdr:from>
    <xdr:to>
      <xdr:col>7</xdr:col>
      <xdr:colOff>1163170</xdr:colOff>
      <xdr:row>396</xdr:row>
      <xdr:rowOff>30480</xdr:rowOff>
    </xdr:to>
    <xdr:pic>
      <xdr:nvPicPr>
        <xdr:cNvPr id="294" name="Picture 4">
          <a:extLst>
            <a:ext uri="{FF2B5EF4-FFF2-40B4-BE49-F238E27FC236}">
              <a16:creationId xmlns:a16="http://schemas.microsoft.com/office/drawing/2014/main" id="{00000000-0008-0000-0900-00002601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85644766"/>
          <a:ext cx="1028700" cy="204843"/>
        </a:xfrm>
        <a:prstGeom prst="rect">
          <a:avLst/>
        </a:prstGeom>
        <a:noFill/>
      </xdr:spPr>
    </xdr:pic>
    <xdr:clientData/>
  </xdr:twoCellAnchor>
  <xdr:twoCellAnchor>
    <xdr:from>
      <xdr:col>4</xdr:col>
      <xdr:colOff>109369</xdr:colOff>
      <xdr:row>395</xdr:row>
      <xdr:rowOff>22859</xdr:rowOff>
    </xdr:from>
    <xdr:to>
      <xdr:col>4</xdr:col>
      <xdr:colOff>703281</xdr:colOff>
      <xdr:row>396</xdr:row>
      <xdr:rowOff>30479</xdr:rowOff>
    </xdr:to>
    <xdr:pic>
      <xdr:nvPicPr>
        <xdr:cNvPr id="295" name="Picture 6">
          <a:extLst>
            <a:ext uri="{FF2B5EF4-FFF2-40B4-BE49-F238E27FC236}">
              <a16:creationId xmlns:a16="http://schemas.microsoft.com/office/drawing/2014/main" id="{00000000-0008-0000-0900-00002701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883510" y="79683235"/>
          <a:ext cx="593912" cy="204844"/>
        </a:xfrm>
        <a:prstGeom prst="rect">
          <a:avLst/>
        </a:prstGeom>
        <a:noFill/>
      </xdr:spPr>
    </xdr:pic>
    <xdr:clientData/>
  </xdr:twoCellAnchor>
  <xdr:twoCellAnchor>
    <xdr:from>
      <xdr:col>2</xdr:col>
      <xdr:colOff>242943</xdr:colOff>
      <xdr:row>394</xdr:row>
      <xdr:rowOff>230392</xdr:rowOff>
    </xdr:from>
    <xdr:to>
      <xdr:col>2</xdr:col>
      <xdr:colOff>829683</xdr:colOff>
      <xdr:row>396</xdr:row>
      <xdr:rowOff>4930</xdr:rowOff>
    </xdr:to>
    <xdr:pic>
      <xdr:nvPicPr>
        <xdr:cNvPr id="296" name="Picture 5">
          <a:extLst>
            <a:ext uri="{FF2B5EF4-FFF2-40B4-BE49-F238E27FC236}">
              <a16:creationId xmlns:a16="http://schemas.microsoft.com/office/drawing/2014/main" id="{00000000-0008-0000-0900-00002801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70355" y="79657686"/>
          <a:ext cx="586740" cy="204844"/>
        </a:xfrm>
        <a:prstGeom prst="rect">
          <a:avLst/>
        </a:prstGeom>
        <a:noFill/>
      </xdr:spPr>
    </xdr:pic>
    <xdr:clientData/>
  </xdr:twoCellAnchor>
  <xdr:twoCellAnchor>
    <xdr:from>
      <xdr:col>0</xdr:col>
      <xdr:colOff>35859</xdr:colOff>
      <xdr:row>409</xdr:row>
      <xdr:rowOff>125506</xdr:rowOff>
    </xdr:from>
    <xdr:to>
      <xdr:col>2</xdr:col>
      <xdr:colOff>851199</xdr:colOff>
      <xdr:row>411</xdr:row>
      <xdr:rowOff>155986</xdr:rowOff>
    </xdr:to>
    <xdr:pic>
      <xdr:nvPicPr>
        <xdr:cNvPr id="297" name="Picture 2">
          <a:extLst>
            <a:ext uri="{FF2B5EF4-FFF2-40B4-BE49-F238E27FC236}">
              <a16:creationId xmlns:a16="http://schemas.microsoft.com/office/drawing/2014/main" id="{00000000-0008-0000-0900-00002901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89691882"/>
          <a:ext cx="2742752" cy="424928"/>
        </a:xfrm>
        <a:prstGeom prst="rect">
          <a:avLst/>
        </a:prstGeom>
        <a:noFill/>
      </xdr:spPr>
    </xdr:pic>
    <xdr:clientData/>
  </xdr:twoCellAnchor>
  <xdr:twoCellAnchor>
    <xdr:from>
      <xdr:col>0</xdr:col>
      <xdr:colOff>89647</xdr:colOff>
      <xdr:row>413</xdr:row>
      <xdr:rowOff>8965</xdr:rowOff>
    </xdr:from>
    <xdr:to>
      <xdr:col>0</xdr:col>
      <xdr:colOff>851647</xdr:colOff>
      <xdr:row>415</xdr:row>
      <xdr:rowOff>16585</xdr:rowOff>
    </xdr:to>
    <xdr:pic>
      <xdr:nvPicPr>
        <xdr:cNvPr id="298" name="Picture 1">
          <a:extLst>
            <a:ext uri="{FF2B5EF4-FFF2-40B4-BE49-F238E27FC236}">
              <a16:creationId xmlns:a16="http://schemas.microsoft.com/office/drawing/2014/main" id="{00000000-0008-0000-0900-00002A01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90364236"/>
          <a:ext cx="762000" cy="402067"/>
        </a:xfrm>
        <a:prstGeom prst="rect">
          <a:avLst/>
        </a:prstGeom>
        <a:noFill/>
      </xdr:spPr>
    </xdr:pic>
    <xdr:clientData/>
  </xdr:twoCellAnchor>
  <xdr:twoCellAnchor>
    <xdr:from>
      <xdr:col>0</xdr:col>
      <xdr:colOff>0</xdr:colOff>
      <xdr:row>416</xdr:row>
      <xdr:rowOff>0</xdr:rowOff>
    </xdr:from>
    <xdr:to>
      <xdr:col>1</xdr:col>
      <xdr:colOff>243840</xdr:colOff>
      <xdr:row>417</xdr:row>
      <xdr:rowOff>7620</xdr:rowOff>
    </xdr:to>
    <xdr:pic>
      <xdr:nvPicPr>
        <xdr:cNvPr id="299" name="Picture 3">
          <a:extLst>
            <a:ext uri="{FF2B5EF4-FFF2-40B4-BE49-F238E27FC236}">
              <a16:creationId xmlns:a16="http://schemas.microsoft.com/office/drawing/2014/main" id="{00000000-0008-0000-0900-00002B01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90946941"/>
          <a:ext cx="1185134" cy="240703"/>
        </a:xfrm>
        <a:prstGeom prst="rect">
          <a:avLst/>
        </a:prstGeom>
        <a:noFill/>
      </xdr:spPr>
    </xdr:pic>
    <xdr:clientData/>
  </xdr:twoCellAnchor>
  <xdr:twoCellAnchor>
    <xdr:from>
      <xdr:col>1</xdr:col>
      <xdr:colOff>327660</xdr:colOff>
      <xdr:row>1515</xdr:row>
      <xdr:rowOff>7620</xdr:rowOff>
    </xdr:from>
    <xdr:to>
      <xdr:col>1</xdr:col>
      <xdr:colOff>457200</xdr:colOff>
      <xdr:row>1516</xdr:row>
      <xdr:rowOff>15240</xdr:rowOff>
    </xdr:to>
    <xdr:pic>
      <xdr:nvPicPr>
        <xdr:cNvPr id="300" name="Picture 7">
          <a:extLst>
            <a:ext uri="{FF2B5EF4-FFF2-40B4-BE49-F238E27FC236}">
              <a16:creationId xmlns:a16="http://schemas.microsoft.com/office/drawing/2014/main" id="{00000000-0008-0000-0900-00002C01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79667996"/>
          <a:ext cx="129540" cy="204844"/>
        </a:xfrm>
        <a:prstGeom prst="rect">
          <a:avLst/>
        </a:prstGeom>
        <a:noFill/>
      </xdr:spPr>
    </xdr:pic>
    <xdr:clientData/>
  </xdr:twoCellAnchor>
  <xdr:twoCellAnchor>
    <xdr:from>
      <xdr:col>3</xdr:col>
      <xdr:colOff>350520</xdr:colOff>
      <xdr:row>1515</xdr:row>
      <xdr:rowOff>7620</xdr:rowOff>
    </xdr:from>
    <xdr:to>
      <xdr:col>3</xdr:col>
      <xdr:colOff>480060</xdr:colOff>
      <xdr:row>1516</xdr:row>
      <xdr:rowOff>15240</xdr:rowOff>
    </xdr:to>
    <xdr:pic>
      <xdr:nvPicPr>
        <xdr:cNvPr id="301" name="Picture 8">
          <a:extLst>
            <a:ext uri="{FF2B5EF4-FFF2-40B4-BE49-F238E27FC236}">
              <a16:creationId xmlns:a16="http://schemas.microsoft.com/office/drawing/2014/main" id="{00000000-0008-0000-0900-00002D01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264049" y="79667996"/>
          <a:ext cx="129540" cy="204844"/>
        </a:xfrm>
        <a:prstGeom prst="rect">
          <a:avLst/>
        </a:prstGeom>
        <a:noFill/>
      </xdr:spPr>
    </xdr:pic>
    <xdr:clientData/>
  </xdr:twoCellAnchor>
  <xdr:twoCellAnchor>
    <xdr:from>
      <xdr:col>5</xdr:col>
      <xdr:colOff>116094</xdr:colOff>
      <xdr:row>1515</xdr:row>
      <xdr:rowOff>22861</xdr:rowOff>
    </xdr:from>
    <xdr:to>
      <xdr:col>5</xdr:col>
      <xdr:colOff>512334</xdr:colOff>
      <xdr:row>1516</xdr:row>
      <xdr:rowOff>30481</xdr:rowOff>
    </xdr:to>
    <xdr:pic>
      <xdr:nvPicPr>
        <xdr:cNvPr id="302" name="Picture 2">
          <a:extLst>
            <a:ext uri="{FF2B5EF4-FFF2-40B4-BE49-F238E27FC236}">
              <a16:creationId xmlns:a16="http://schemas.microsoft.com/office/drawing/2014/main" id="{00000000-0008-0000-0900-00002E01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697059" y="303998108"/>
          <a:ext cx="396240" cy="204844"/>
        </a:xfrm>
        <a:prstGeom prst="rect">
          <a:avLst/>
        </a:prstGeom>
        <a:noFill/>
      </xdr:spPr>
    </xdr:pic>
    <xdr:clientData/>
  </xdr:twoCellAnchor>
  <xdr:twoCellAnchor>
    <xdr:from>
      <xdr:col>6</xdr:col>
      <xdr:colOff>174363</xdr:colOff>
      <xdr:row>1515</xdr:row>
      <xdr:rowOff>16585</xdr:rowOff>
    </xdr:from>
    <xdr:to>
      <xdr:col>6</xdr:col>
      <xdr:colOff>570603</xdr:colOff>
      <xdr:row>1516</xdr:row>
      <xdr:rowOff>24205</xdr:rowOff>
    </xdr:to>
    <xdr:pic>
      <xdr:nvPicPr>
        <xdr:cNvPr id="303" name="Picture 3">
          <a:extLst>
            <a:ext uri="{FF2B5EF4-FFF2-40B4-BE49-F238E27FC236}">
              <a16:creationId xmlns:a16="http://schemas.microsoft.com/office/drawing/2014/main" id="{00000000-0008-0000-0900-00002F0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562151" y="303991832"/>
          <a:ext cx="396240" cy="204844"/>
        </a:xfrm>
        <a:prstGeom prst="rect">
          <a:avLst/>
        </a:prstGeom>
        <a:noFill/>
      </xdr:spPr>
    </xdr:pic>
    <xdr:clientData/>
  </xdr:twoCellAnchor>
  <xdr:twoCellAnchor>
    <xdr:from>
      <xdr:col>7</xdr:col>
      <xdr:colOff>134470</xdr:colOff>
      <xdr:row>1515</xdr:row>
      <xdr:rowOff>22860</xdr:rowOff>
    </xdr:from>
    <xdr:to>
      <xdr:col>7</xdr:col>
      <xdr:colOff>1163170</xdr:colOff>
      <xdr:row>1516</xdr:row>
      <xdr:rowOff>30480</xdr:rowOff>
    </xdr:to>
    <xdr:pic>
      <xdr:nvPicPr>
        <xdr:cNvPr id="304" name="Picture 4">
          <a:extLst>
            <a:ext uri="{FF2B5EF4-FFF2-40B4-BE49-F238E27FC236}">
              <a16:creationId xmlns:a16="http://schemas.microsoft.com/office/drawing/2014/main" id="{00000000-0008-0000-0900-00003001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239435" y="79683236"/>
          <a:ext cx="1028700" cy="204844"/>
        </a:xfrm>
        <a:prstGeom prst="rect">
          <a:avLst/>
        </a:prstGeom>
        <a:noFill/>
      </xdr:spPr>
    </xdr:pic>
    <xdr:clientData/>
  </xdr:twoCellAnchor>
  <xdr:twoCellAnchor>
    <xdr:from>
      <xdr:col>4</xdr:col>
      <xdr:colOff>120255</xdr:colOff>
      <xdr:row>1515</xdr:row>
      <xdr:rowOff>11974</xdr:rowOff>
    </xdr:from>
    <xdr:to>
      <xdr:col>4</xdr:col>
      <xdr:colOff>714167</xdr:colOff>
      <xdr:row>1516</xdr:row>
      <xdr:rowOff>19594</xdr:rowOff>
    </xdr:to>
    <xdr:pic>
      <xdr:nvPicPr>
        <xdr:cNvPr id="305" name="Picture 6">
          <a:extLst>
            <a:ext uri="{FF2B5EF4-FFF2-40B4-BE49-F238E27FC236}">
              <a16:creationId xmlns:a16="http://schemas.microsoft.com/office/drawing/2014/main" id="{00000000-0008-0000-0900-00003101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875826" y="302057888"/>
          <a:ext cx="593912" cy="203563"/>
        </a:xfrm>
        <a:prstGeom prst="rect">
          <a:avLst/>
        </a:prstGeom>
        <a:noFill/>
      </xdr:spPr>
    </xdr:pic>
    <xdr:clientData/>
  </xdr:twoCellAnchor>
  <xdr:twoCellAnchor>
    <xdr:from>
      <xdr:col>2</xdr:col>
      <xdr:colOff>242944</xdr:colOff>
      <xdr:row>1515</xdr:row>
      <xdr:rowOff>23564</xdr:rowOff>
    </xdr:from>
    <xdr:to>
      <xdr:col>2</xdr:col>
      <xdr:colOff>829684</xdr:colOff>
      <xdr:row>1516</xdr:row>
      <xdr:rowOff>26702</xdr:rowOff>
    </xdr:to>
    <xdr:pic>
      <xdr:nvPicPr>
        <xdr:cNvPr id="306" name="Picture 5">
          <a:extLst>
            <a:ext uri="{FF2B5EF4-FFF2-40B4-BE49-F238E27FC236}">
              <a16:creationId xmlns:a16="http://schemas.microsoft.com/office/drawing/2014/main" id="{00000000-0008-0000-0900-00003201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158830" y="302069478"/>
          <a:ext cx="586740" cy="199081"/>
        </a:xfrm>
        <a:prstGeom prst="rect">
          <a:avLst/>
        </a:prstGeom>
        <a:noFill/>
      </xdr:spPr>
    </xdr:pic>
    <xdr:clientData/>
  </xdr:twoCellAnchor>
  <xdr:twoCellAnchor>
    <xdr:from>
      <xdr:col>0</xdr:col>
      <xdr:colOff>35859</xdr:colOff>
      <xdr:row>1529</xdr:row>
      <xdr:rowOff>125506</xdr:rowOff>
    </xdr:from>
    <xdr:to>
      <xdr:col>2</xdr:col>
      <xdr:colOff>851199</xdr:colOff>
      <xdr:row>1531</xdr:row>
      <xdr:rowOff>155986</xdr:rowOff>
    </xdr:to>
    <xdr:pic>
      <xdr:nvPicPr>
        <xdr:cNvPr id="307" name="Picture 2">
          <a:extLst>
            <a:ext uri="{FF2B5EF4-FFF2-40B4-BE49-F238E27FC236}">
              <a16:creationId xmlns:a16="http://schemas.microsoft.com/office/drawing/2014/main" id="{00000000-0008-0000-0900-00003301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82744235"/>
          <a:ext cx="2742752" cy="424927"/>
        </a:xfrm>
        <a:prstGeom prst="rect">
          <a:avLst/>
        </a:prstGeom>
        <a:noFill/>
      </xdr:spPr>
    </xdr:pic>
    <xdr:clientData/>
  </xdr:twoCellAnchor>
  <xdr:twoCellAnchor>
    <xdr:from>
      <xdr:col>0</xdr:col>
      <xdr:colOff>89647</xdr:colOff>
      <xdr:row>1533</xdr:row>
      <xdr:rowOff>8965</xdr:rowOff>
    </xdr:from>
    <xdr:to>
      <xdr:col>0</xdr:col>
      <xdr:colOff>851647</xdr:colOff>
      <xdr:row>1535</xdr:row>
      <xdr:rowOff>16585</xdr:rowOff>
    </xdr:to>
    <xdr:pic>
      <xdr:nvPicPr>
        <xdr:cNvPr id="308" name="Picture 1">
          <a:extLst>
            <a:ext uri="{FF2B5EF4-FFF2-40B4-BE49-F238E27FC236}">
              <a16:creationId xmlns:a16="http://schemas.microsoft.com/office/drawing/2014/main" id="{00000000-0008-0000-0900-00003401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83416589"/>
          <a:ext cx="762000" cy="402067"/>
        </a:xfrm>
        <a:prstGeom prst="rect">
          <a:avLst/>
        </a:prstGeom>
        <a:noFill/>
      </xdr:spPr>
    </xdr:pic>
    <xdr:clientData/>
  </xdr:twoCellAnchor>
  <xdr:twoCellAnchor>
    <xdr:from>
      <xdr:col>0</xdr:col>
      <xdr:colOff>0</xdr:colOff>
      <xdr:row>1536</xdr:row>
      <xdr:rowOff>0</xdr:rowOff>
    </xdr:from>
    <xdr:to>
      <xdr:col>1</xdr:col>
      <xdr:colOff>243840</xdr:colOff>
      <xdr:row>1537</xdr:row>
      <xdr:rowOff>7620</xdr:rowOff>
    </xdr:to>
    <xdr:pic>
      <xdr:nvPicPr>
        <xdr:cNvPr id="309" name="Picture 3">
          <a:extLst>
            <a:ext uri="{FF2B5EF4-FFF2-40B4-BE49-F238E27FC236}">
              <a16:creationId xmlns:a16="http://schemas.microsoft.com/office/drawing/2014/main" id="{00000000-0008-0000-0900-00003501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83999294"/>
          <a:ext cx="1185134" cy="204844"/>
        </a:xfrm>
        <a:prstGeom prst="rect">
          <a:avLst/>
        </a:prstGeom>
        <a:noFill/>
      </xdr:spPr>
    </xdr:pic>
    <xdr:clientData/>
  </xdr:twoCellAnchor>
  <xdr:twoCellAnchor>
    <xdr:from>
      <xdr:col>1</xdr:col>
      <xdr:colOff>367553</xdr:colOff>
      <xdr:row>1543</xdr:row>
      <xdr:rowOff>35859</xdr:rowOff>
    </xdr:from>
    <xdr:to>
      <xdr:col>7</xdr:col>
      <xdr:colOff>942190</xdr:colOff>
      <xdr:row>1546</xdr:row>
      <xdr:rowOff>6276</xdr:rowOff>
    </xdr:to>
    <xdr:pic>
      <xdr:nvPicPr>
        <xdr:cNvPr id="37" name="Picture 17">
          <a:extLst>
            <a:ext uri="{FF2B5EF4-FFF2-40B4-BE49-F238E27FC236}">
              <a16:creationId xmlns:a16="http://schemas.microsoft.com/office/drawing/2014/main" id="{00000000-0008-0000-0900-000025000000}"/>
            </a:ext>
          </a:extLst>
        </xdr:cNvPr>
        <xdr:cNvPicPr>
          <a:picLocks noChangeAspect="1" noChangeArrowheads="1"/>
        </xdr:cNvPicPr>
      </xdr:nvPicPr>
      <xdr:blipFill>
        <a:blip xmlns:r="http://schemas.openxmlformats.org/officeDocument/2006/relationships" r:embed="rId35">
          <a:clrChange>
            <a:clrFrom>
              <a:srgbClr val="FFFFFF"/>
            </a:clrFrom>
            <a:clrTo>
              <a:srgbClr val="FFFFFF">
                <a:alpha val="0"/>
              </a:srgbClr>
            </a:clrTo>
          </a:clrChange>
        </a:blip>
        <a:srcRect/>
        <a:stretch>
          <a:fillRect/>
        </a:stretch>
      </xdr:blipFill>
      <xdr:spPr bwMode="auto">
        <a:xfrm>
          <a:off x="1308847" y="309730588"/>
          <a:ext cx="5738308" cy="759312"/>
        </a:xfrm>
        <a:prstGeom prst="rect">
          <a:avLst/>
        </a:prstGeom>
        <a:noFill/>
      </xdr:spPr>
    </xdr:pic>
    <xdr:clientData/>
  </xdr:twoCellAnchor>
  <xdr:twoCellAnchor>
    <xdr:from>
      <xdr:col>1</xdr:col>
      <xdr:colOff>234240</xdr:colOff>
      <xdr:row>1546</xdr:row>
      <xdr:rowOff>170329</xdr:rowOff>
    </xdr:from>
    <xdr:to>
      <xdr:col>7</xdr:col>
      <xdr:colOff>965499</xdr:colOff>
      <xdr:row>1550</xdr:row>
      <xdr:rowOff>17929</xdr:rowOff>
    </xdr:to>
    <xdr:pic>
      <xdr:nvPicPr>
        <xdr:cNvPr id="2066" name="Picture 18">
          <a:extLst>
            <a:ext uri="{FF2B5EF4-FFF2-40B4-BE49-F238E27FC236}">
              <a16:creationId xmlns:a16="http://schemas.microsoft.com/office/drawing/2014/main" id="{00000000-0008-0000-0900-000012080000}"/>
            </a:ext>
          </a:extLst>
        </xdr:cNvPr>
        <xdr:cNvPicPr>
          <a:picLocks noChangeAspect="1" noChangeArrowheads="1"/>
        </xdr:cNvPicPr>
      </xdr:nvPicPr>
      <xdr:blipFill>
        <a:blip xmlns:r="http://schemas.openxmlformats.org/officeDocument/2006/relationships" r:embed="rId36">
          <a:clrChange>
            <a:clrFrom>
              <a:srgbClr val="FFFFFF"/>
            </a:clrFrom>
            <a:clrTo>
              <a:srgbClr val="FFFFFF">
                <a:alpha val="0"/>
              </a:srgbClr>
            </a:clrTo>
          </a:clrChange>
        </a:blip>
        <a:srcRect/>
        <a:stretch>
          <a:fillRect/>
        </a:stretch>
      </xdr:blipFill>
      <xdr:spPr bwMode="auto">
        <a:xfrm>
          <a:off x="1175534" y="310653953"/>
          <a:ext cx="5894930" cy="636494"/>
        </a:xfrm>
        <a:prstGeom prst="rect">
          <a:avLst/>
        </a:prstGeom>
        <a:noFill/>
      </xdr:spPr>
    </xdr:pic>
    <xdr:clientData/>
  </xdr:twoCellAnchor>
  <xdr:twoCellAnchor>
    <xdr:from>
      <xdr:col>3</xdr:col>
      <xdr:colOff>143436</xdr:colOff>
      <xdr:row>1554</xdr:row>
      <xdr:rowOff>188259</xdr:rowOff>
    </xdr:from>
    <xdr:to>
      <xdr:col>3</xdr:col>
      <xdr:colOff>726141</xdr:colOff>
      <xdr:row>1556</xdr:row>
      <xdr:rowOff>44823</xdr:rowOff>
    </xdr:to>
    <xdr:pic>
      <xdr:nvPicPr>
        <xdr:cNvPr id="325" name="Picture 28">
          <a:extLst>
            <a:ext uri="{FF2B5EF4-FFF2-40B4-BE49-F238E27FC236}">
              <a16:creationId xmlns:a16="http://schemas.microsoft.com/office/drawing/2014/main" id="{00000000-0008-0000-0900-000045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3056965" y="312321388"/>
          <a:ext cx="582705" cy="251011"/>
        </a:xfrm>
        <a:prstGeom prst="rect">
          <a:avLst/>
        </a:prstGeom>
        <a:noFill/>
      </xdr:spPr>
    </xdr:pic>
    <xdr:clientData/>
  </xdr:twoCellAnchor>
  <xdr:twoCellAnchor>
    <xdr:from>
      <xdr:col>1</xdr:col>
      <xdr:colOff>327660</xdr:colOff>
      <xdr:row>395</xdr:row>
      <xdr:rowOff>7620</xdr:rowOff>
    </xdr:from>
    <xdr:to>
      <xdr:col>1</xdr:col>
      <xdr:colOff>457200</xdr:colOff>
      <xdr:row>396</xdr:row>
      <xdr:rowOff>15240</xdr:rowOff>
    </xdr:to>
    <xdr:pic>
      <xdr:nvPicPr>
        <xdr:cNvPr id="326" name="Picture 7">
          <a:extLst>
            <a:ext uri="{FF2B5EF4-FFF2-40B4-BE49-F238E27FC236}">
              <a16:creationId xmlns:a16="http://schemas.microsoft.com/office/drawing/2014/main" id="{00000000-0008-0000-0900-00004601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268954" y="303982867"/>
          <a:ext cx="129540" cy="204844"/>
        </a:xfrm>
        <a:prstGeom prst="rect">
          <a:avLst/>
        </a:prstGeom>
        <a:noFill/>
      </xdr:spPr>
    </xdr:pic>
    <xdr:clientData/>
  </xdr:twoCellAnchor>
  <xdr:twoCellAnchor>
    <xdr:from>
      <xdr:col>1</xdr:col>
      <xdr:colOff>408342</xdr:colOff>
      <xdr:row>1588</xdr:row>
      <xdr:rowOff>231738</xdr:rowOff>
    </xdr:from>
    <xdr:to>
      <xdr:col>1</xdr:col>
      <xdr:colOff>537882</xdr:colOff>
      <xdr:row>1590</xdr:row>
      <xdr:rowOff>6276</xdr:rowOff>
    </xdr:to>
    <xdr:pic>
      <xdr:nvPicPr>
        <xdr:cNvPr id="327" name="Picture 7">
          <a:extLst>
            <a:ext uri="{FF2B5EF4-FFF2-40B4-BE49-F238E27FC236}">
              <a16:creationId xmlns:a16="http://schemas.microsoft.com/office/drawing/2014/main" id="{00000000-0008-0000-0900-00004701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blip>
        <a:srcRect/>
        <a:stretch>
          <a:fillRect/>
        </a:stretch>
      </xdr:blipFill>
      <xdr:spPr bwMode="auto">
        <a:xfrm>
          <a:off x="1496913" y="97637109"/>
          <a:ext cx="129540" cy="199081"/>
        </a:xfrm>
        <a:prstGeom prst="rect">
          <a:avLst/>
        </a:prstGeom>
        <a:noFill/>
      </xdr:spPr>
    </xdr:pic>
    <xdr:clientData/>
  </xdr:twoCellAnchor>
  <xdr:twoCellAnchor>
    <xdr:from>
      <xdr:col>3</xdr:col>
      <xdr:colOff>395343</xdr:colOff>
      <xdr:row>1588</xdr:row>
      <xdr:rowOff>231737</xdr:rowOff>
    </xdr:from>
    <xdr:to>
      <xdr:col>3</xdr:col>
      <xdr:colOff>524883</xdr:colOff>
      <xdr:row>1590</xdr:row>
      <xdr:rowOff>6275</xdr:rowOff>
    </xdr:to>
    <xdr:pic>
      <xdr:nvPicPr>
        <xdr:cNvPr id="328" name="Picture 8">
          <a:extLst>
            <a:ext uri="{FF2B5EF4-FFF2-40B4-BE49-F238E27FC236}">
              <a16:creationId xmlns:a16="http://schemas.microsoft.com/office/drawing/2014/main" id="{00000000-0008-0000-0900-000048010000}"/>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blip>
        <a:srcRect/>
        <a:stretch>
          <a:fillRect/>
        </a:stretch>
      </xdr:blipFill>
      <xdr:spPr bwMode="auto">
        <a:xfrm>
          <a:off x="3443343" y="97637108"/>
          <a:ext cx="129540" cy="199081"/>
        </a:xfrm>
        <a:prstGeom prst="rect">
          <a:avLst/>
        </a:prstGeom>
        <a:noFill/>
      </xdr:spPr>
    </xdr:pic>
    <xdr:clientData/>
  </xdr:twoCellAnchor>
  <xdr:twoCellAnchor>
    <xdr:from>
      <xdr:col>5</xdr:col>
      <xdr:colOff>116092</xdr:colOff>
      <xdr:row>1589</xdr:row>
      <xdr:rowOff>31825</xdr:rowOff>
    </xdr:from>
    <xdr:to>
      <xdr:col>5</xdr:col>
      <xdr:colOff>512332</xdr:colOff>
      <xdr:row>1590</xdr:row>
      <xdr:rowOff>39445</xdr:rowOff>
    </xdr:to>
    <xdr:pic>
      <xdr:nvPicPr>
        <xdr:cNvPr id="329" name="Picture 2">
          <a:extLst>
            <a:ext uri="{FF2B5EF4-FFF2-40B4-BE49-F238E27FC236}">
              <a16:creationId xmlns:a16="http://schemas.microsoft.com/office/drawing/2014/main" id="{00000000-0008-0000-0900-00004901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4829606" y="97665796"/>
          <a:ext cx="396240" cy="203563"/>
        </a:xfrm>
        <a:prstGeom prst="rect">
          <a:avLst/>
        </a:prstGeom>
        <a:noFill/>
      </xdr:spPr>
    </xdr:pic>
    <xdr:clientData/>
  </xdr:twoCellAnchor>
  <xdr:twoCellAnchor>
    <xdr:from>
      <xdr:col>6</xdr:col>
      <xdr:colOff>156435</xdr:colOff>
      <xdr:row>1589</xdr:row>
      <xdr:rowOff>34514</xdr:rowOff>
    </xdr:from>
    <xdr:to>
      <xdr:col>6</xdr:col>
      <xdr:colOff>552675</xdr:colOff>
      <xdr:row>1590</xdr:row>
      <xdr:rowOff>42134</xdr:rowOff>
    </xdr:to>
    <xdr:pic>
      <xdr:nvPicPr>
        <xdr:cNvPr id="330" name="Picture 3">
          <a:extLst>
            <a:ext uri="{FF2B5EF4-FFF2-40B4-BE49-F238E27FC236}">
              <a16:creationId xmlns:a16="http://schemas.microsoft.com/office/drawing/2014/main" id="{00000000-0008-0000-0900-00004A0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blip>
        <a:srcRect/>
        <a:stretch>
          <a:fillRect/>
        </a:stretch>
      </xdr:blipFill>
      <xdr:spPr bwMode="auto">
        <a:xfrm>
          <a:off x="5675492" y="97668485"/>
          <a:ext cx="396240" cy="203563"/>
        </a:xfrm>
        <a:prstGeom prst="rect">
          <a:avLst/>
        </a:prstGeom>
        <a:noFill/>
      </xdr:spPr>
    </xdr:pic>
    <xdr:clientData/>
  </xdr:twoCellAnchor>
  <xdr:twoCellAnchor>
    <xdr:from>
      <xdr:col>7</xdr:col>
      <xdr:colOff>134470</xdr:colOff>
      <xdr:row>1589</xdr:row>
      <xdr:rowOff>22860</xdr:rowOff>
    </xdr:from>
    <xdr:to>
      <xdr:col>7</xdr:col>
      <xdr:colOff>1163170</xdr:colOff>
      <xdr:row>1590</xdr:row>
      <xdr:rowOff>30480</xdr:rowOff>
    </xdr:to>
    <xdr:pic>
      <xdr:nvPicPr>
        <xdr:cNvPr id="331" name="Picture 4">
          <a:extLst>
            <a:ext uri="{FF2B5EF4-FFF2-40B4-BE49-F238E27FC236}">
              <a16:creationId xmlns:a16="http://schemas.microsoft.com/office/drawing/2014/main" id="{00000000-0008-0000-0900-00004B01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blip>
        <a:srcRect/>
        <a:stretch>
          <a:fillRect/>
        </a:stretch>
      </xdr:blipFill>
      <xdr:spPr bwMode="auto">
        <a:xfrm>
          <a:off x="6371984" y="97656831"/>
          <a:ext cx="1028700" cy="203563"/>
        </a:xfrm>
        <a:prstGeom prst="rect">
          <a:avLst/>
        </a:prstGeom>
        <a:noFill/>
      </xdr:spPr>
    </xdr:pic>
    <xdr:clientData/>
  </xdr:twoCellAnchor>
  <xdr:twoCellAnchor>
    <xdr:from>
      <xdr:col>3</xdr:col>
      <xdr:colOff>853440</xdr:colOff>
      <xdr:row>1589</xdr:row>
      <xdr:rowOff>37587</xdr:rowOff>
    </xdr:from>
    <xdr:to>
      <xdr:col>4</xdr:col>
      <xdr:colOff>586740</xdr:colOff>
      <xdr:row>1590</xdr:row>
      <xdr:rowOff>45207</xdr:rowOff>
    </xdr:to>
    <xdr:pic>
      <xdr:nvPicPr>
        <xdr:cNvPr id="332" name="Picture 6">
          <a:extLst>
            <a:ext uri="{FF2B5EF4-FFF2-40B4-BE49-F238E27FC236}">
              <a16:creationId xmlns:a16="http://schemas.microsoft.com/office/drawing/2014/main" id="{00000000-0008-0000-0900-00004C01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blip>
        <a:srcRect/>
        <a:stretch>
          <a:fillRect/>
        </a:stretch>
      </xdr:blipFill>
      <xdr:spPr bwMode="auto">
        <a:xfrm>
          <a:off x="3901440" y="97671558"/>
          <a:ext cx="593271" cy="203563"/>
        </a:xfrm>
        <a:prstGeom prst="rect">
          <a:avLst/>
        </a:prstGeom>
        <a:noFill/>
      </xdr:spPr>
    </xdr:pic>
    <xdr:clientData/>
  </xdr:twoCellAnchor>
  <xdr:twoCellAnchor>
    <xdr:from>
      <xdr:col>2</xdr:col>
      <xdr:colOff>233979</xdr:colOff>
      <xdr:row>1589</xdr:row>
      <xdr:rowOff>15241</xdr:rowOff>
    </xdr:from>
    <xdr:to>
      <xdr:col>2</xdr:col>
      <xdr:colOff>820719</xdr:colOff>
      <xdr:row>1590</xdr:row>
      <xdr:rowOff>22861</xdr:rowOff>
    </xdr:to>
    <xdr:pic>
      <xdr:nvPicPr>
        <xdr:cNvPr id="333" name="Picture 5">
          <a:extLst>
            <a:ext uri="{FF2B5EF4-FFF2-40B4-BE49-F238E27FC236}">
              <a16:creationId xmlns:a16="http://schemas.microsoft.com/office/drawing/2014/main" id="{00000000-0008-0000-0900-00004D01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blip>
        <a:srcRect/>
        <a:stretch>
          <a:fillRect/>
        </a:stretch>
      </xdr:blipFill>
      <xdr:spPr bwMode="auto">
        <a:xfrm>
          <a:off x="2302265" y="97649212"/>
          <a:ext cx="586740" cy="203563"/>
        </a:xfrm>
        <a:prstGeom prst="rect">
          <a:avLst/>
        </a:prstGeom>
        <a:noFill/>
      </xdr:spPr>
    </xdr:pic>
    <xdr:clientData/>
  </xdr:twoCellAnchor>
  <xdr:twoCellAnchor>
    <xdr:from>
      <xdr:col>0</xdr:col>
      <xdr:colOff>35859</xdr:colOff>
      <xdr:row>1606</xdr:row>
      <xdr:rowOff>125506</xdr:rowOff>
    </xdr:from>
    <xdr:to>
      <xdr:col>2</xdr:col>
      <xdr:colOff>851199</xdr:colOff>
      <xdr:row>1608</xdr:row>
      <xdr:rowOff>155986</xdr:rowOff>
    </xdr:to>
    <xdr:pic>
      <xdr:nvPicPr>
        <xdr:cNvPr id="334" name="Picture 2">
          <a:extLst>
            <a:ext uri="{FF2B5EF4-FFF2-40B4-BE49-F238E27FC236}">
              <a16:creationId xmlns:a16="http://schemas.microsoft.com/office/drawing/2014/main" id="{00000000-0008-0000-0900-00004E010000}"/>
            </a:ext>
          </a:extLst>
        </xdr:cNvPr>
        <xdr:cNvPicPr>
          <a:picLocks noChangeAspect="1" noChangeArrowheads="1"/>
        </xdr:cNvPicPr>
      </xdr:nvPicPr>
      <xdr:blipFill>
        <a:blip xmlns:r="http://schemas.openxmlformats.org/officeDocument/2006/relationships" r:embed="rId17">
          <a:clrChange>
            <a:clrFrom>
              <a:srgbClr val="FFFFFF"/>
            </a:clrFrom>
            <a:clrTo>
              <a:srgbClr val="FFFFFF">
                <a:alpha val="0"/>
              </a:srgbClr>
            </a:clrTo>
          </a:clrChange>
        </a:blip>
        <a:srcRect/>
        <a:stretch>
          <a:fillRect/>
        </a:stretch>
      </xdr:blipFill>
      <xdr:spPr bwMode="auto">
        <a:xfrm>
          <a:off x="35859" y="101286449"/>
          <a:ext cx="2883626" cy="422366"/>
        </a:xfrm>
        <a:prstGeom prst="rect">
          <a:avLst/>
        </a:prstGeom>
        <a:noFill/>
      </xdr:spPr>
    </xdr:pic>
    <xdr:clientData/>
  </xdr:twoCellAnchor>
  <xdr:twoCellAnchor>
    <xdr:from>
      <xdr:col>0</xdr:col>
      <xdr:colOff>89647</xdr:colOff>
      <xdr:row>1610</xdr:row>
      <xdr:rowOff>35859</xdr:rowOff>
    </xdr:from>
    <xdr:to>
      <xdr:col>0</xdr:col>
      <xdr:colOff>851647</xdr:colOff>
      <xdr:row>1611</xdr:row>
      <xdr:rowOff>43479</xdr:rowOff>
    </xdr:to>
    <xdr:pic>
      <xdr:nvPicPr>
        <xdr:cNvPr id="335" name="Picture 1">
          <a:extLst>
            <a:ext uri="{FF2B5EF4-FFF2-40B4-BE49-F238E27FC236}">
              <a16:creationId xmlns:a16="http://schemas.microsoft.com/office/drawing/2014/main" id="{00000000-0008-0000-0900-00004F010000}"/>
            </a:ext>
          </a:extLst>
        </xdr:cNvPr>
        <xdr:cNvPicPr>
          <a:picLocks noChangeAspect="1" noChangeArrowheads="1"/>
        </xdr:cNvPicPr>
      </xdr:nvPicPr>
      <xdr:blipFill>
        <a:blip xmlns:r="http://schemas.openxmlformats.org/officeDocument/2006/relationships" r:embed="rId18">
          <a:clrChange>
            <a:clrFrom>
              <a:srgbClr val="FFFFFF"/>
            </a:clrFrom>
            <a:clrTo>
              <a:srgbClr val="FFFFFF">
                <a:alpha val="0"/>
              </a:srgbClr>
            </a:clrTo>
          </a:clrChange>
        </a:blip>
        <a:srcRect/>
        <a:stretch>
          <a:fillRect/>
        </a:stretch>
      </xdr:blipFill>
      <xdr:spPr bwMode="auto">
        <a:xfrm>
          <a:off x="89647" y="101980573"/>
          <a:ext cx="762000" cy="203563"/>
        </a:xfrm>
        <a:prstGeom prst="rect">
          <a:avLst/>
        </a:prstGeom>
        <a:noFill/>
      </xdr:spPr>
    </xdr:pic>
    <xdr:clientData/>
  </xdr:twoCellAnchor>
  <xdr:twoCellAnchor>
    <xdr:from>
      <xdr:col>0</xdr:col>
      <xdr:colOff>0</xdr:colOff>
      <xdr:row>1613</xdr:row>
      <xdr:rowOff>0</xdr:rowOff>
    </xdr:from>
    <xdr:to>
      <xdr:col>1</xdr:col>
      <xdr:colOff>243840</xdr:colOff>
      <xdr:row>1614</xdr:row>
      <xdr:rowOff>7620</xdr:rowOff>
    </xdr:to>
    <xdr:pic>
      <xdr:nvPicPr>
        <xdr:cNvPr id="336" name="Picture 3">
          <a:extLst>
            <a:ext uri="{FF2B5EF4-FFF2-40B4-BE49-F238E27FC236}">
              <a16:creationId xmlns:a16="http://schemas.microsoft.com/office/drawing/2014/main" id="{00000000-0008-0000-0900-000050010000}"/>
            </a:ext>
          </a:extLst>
        </xdr:cNvPr>
        <xdr:cNvPicPr>
          <a:picLocks noChangeAspect="1" noChangeArrowheads="1"/>
        </xdr:cNvPicPr>
      </xdr:nvPicPr>
      <xdr:blipFill>
        <a:blip xmlns:r="http://schemas.openxmlformats.org/officeDocument/2006/relationships" r:embed="rId19">
          <a:clrChange>
            <a:clrFrom>
              <a:srgbClr val="FFFFFF"/>
            </a:clrFrom>
            <a:clrTo>
              <a:srgbClr val="FFFFFF">
                <a:alpha val="0"/>
              </a:srgbClr>
            </a:clrTo>
          </a:clrChange>
        </a:blip>
        <a:srcRect/>
        <a:stretch>
          <a:fillRect/>
        </a:stretch>
      </xdr:blipFill>
      <xdr:spPr bwMode="auto">
        <a:xfrm>
          <a:off x="0" y="102532543"/>
          <a:ext cx="1332411" cy="203563"/>
        </a:xfrm>
        <a:prstGeom prst="rect">
          <a:avLst/>
        </a:prstGeom>
        <a:noFill/>
      </xdr:spPr>
    </xdr:pic>
    <xdr:clientData/>
  </xdr:twoCellAnchor>
  <xdr:twoCellAnchor>
    <xdr:from>
      <xdr:col>1</xdr:col>
      <xdr:colOff>367553</xdr:colOff>
      <xdr:row>1619</xdr:row>
      <xdr:rowOff>108857</xdr:rowOff>
    </xdr:from>
    <xdr:to>
      <xdr:col>7</xdr:col>
      <xdr:colOff>942190</xdr:colOff>
      <xdr:row>1622</xdr:row>
      <xdr:rowOff>6276</xdr:rowOff>
    </xdr:to>
    <xdr:pic>
      <xdr:nvPicPr>
        <xdr:cNvPr id="337" name="Picture 17">
          <a:extLst>
            <a:ext uri="{FF2B5EF4-FFF2-40B4-BE49-F238E27FC236}">
              <a16:creationId xmlns:a16="http://schemas.microsoft.com/office/drawing/2014/main" id="{00000000-0008-0000-0900-000051010000}"/>
            </a:ext>
          </a:extLst>
        </xdr:cNvPr>
        <xdr:cNvPicPr>
          <a:picLocks noChangeAspect="1" noChangeArrowheads="1"/>
        </xdr:cNvPicPr>
      </xdr:nvPicPr>
      <xdr:blipFill>
        <a:blip xmlns:r="http://schemas.openxmlformats.org/officeDocument/2006/relationships" r:embed="rId35">
          <a:clrChange>
            <a:clrFrom>
              <a:srgbClr val="FFFFFF"/>
            </a:clrFrom>
            <a:clrTo>
              <a:srgbClr val="FFFFFF">
                <a:alpha val="0"/>
              </a:srgbClr>
            </a:clrTo>
          </a:clrChange>
        </a:blip>
        <a:srcRect/>
        <a:stretch>
          <a:fillRect/>
        </a:stretch>
      </xdr:blipFill>
      <xdr:spPr bwMode="auto">
        <a:xfrm>
          <a:off x="1456124" y="323229514"/>
          <a:ext cx="5723580" cy="681191"/>
        </a:xfrm>
        <a:prstGeom prst="rect">
          <a:avLst/>
        </a:prstGeom>
        <a:noFill/>
      </xdr:spPr>
    </xdr:pic>
    <xdr:clientData/>
  </xdr:twoCellAnchor>
  <xdr:twoCellAnchor>
    <xdr:from>
      <xdr:col>1</xdr:col>
      <xdr:colOff>277783</xdr:colOff>
      <xdr:row>1622</xdr:row>
      <xdr:rowOff>170329</xdr:rowOff>
    </xdr:from>
    <xdr:to>
      <xdr:col>7</xdr:col>
      <xdr:colOff>1009042</xdr:colOff>
      <xdr:row>1626</xdr:row>
      <xdr:rowOff>17929</xdr:rowOff>
    </xdr:to>
    <xdr:pic>
      <xdr:nvPicPr>
        <xdr:cNvPr id="338" name="Picture 18">
          <a:extLst>
            <a:ext uri="{FF2B5EF4-FFF2-40B4-BE49-F238E27FC236}">
              <a16:creationId xmlns:a16="http://schemas.microsoft.com/office/drawing/2014/main" id="{00000000-0008-0000-0900-000052010000}"/>
            </a:ext>
          </a:extLst>
        </xdr:cNvPr>
        <xdr:cNvPicPr>
          <a:picLocks noChangeAspect="1" noChangeArrowheads="1"/>
        </xdr:cNvPicPr>
      </xdr:nvPicPr>
      <xdr:blipFill>
        <a:blip xmlns:r="http://schemas.openxmlformats.org/officeDocument/2006/relationships" r:embed="rId36">
          <a:clrChange>
            <a:clrFrom>
              <a:srgbClr val="FFFFFF"/>
            </a:clrFrom>
            <a:clrTo>
              <a:srgbClr val="FFFFFF">
                <a:alpha val="0"/>
              </a:srgbClr>
            </a:clrTo>
          </a:clrChange>
        </a:blip>
        <a:srcRect/>
        <a:stretch>
          <a:fillRect/>
        </a:stretch>
      </xdr:blipFill>
      <xdr:spPr bwMode="auto">
        <a:xfrm>
          <a:off x="1366354" y="324074758"/>
          <a:ext cx="5880202" cy="631371"/>
        </a:xfrm>
        <a:prstGeom prst="rect">
          <a:avLst/>
        </a:prstGeom>
        <a:noFill/>
      </xdr:spPr>
    </xdr:pic>
    <xdr:clientData/>
  </xdr:twoCellAnchor>
  <xdr:twoCellAnchor>
    <xdr:from>
      <xdr:col>3</xdr:col>
      <xdr:colOff>143436</xdr:colOff>
      <xdr:row>1630</xdr:row>
      <xdr:rowOff>188259</xdr:rowOff>
    </xdr:from>
    <xdr:to>
      <xdr:col>3</xdr:col>
      <xdr:colOff>726141</xdr:colOff>
      <xdr:row>1632</xdr:row>
      <xdr:rowOff>44823</xdr:rowOff>
    </xdr:to>
    <xdr:pic>
      <xdr:nvPicPr>
        <xdr:cNvPr id="339" name="Picture 28">
          <a:extLst>
            <a:ext uri="{FF2B5EF4-FFF2-40B4-BE49-F238E27FC236}">
              <a16:creationId xmlns:a16="http://schemas.microsoft.com/office/drawing/2014/main" id="{00000000-0008-0000-0900-000053010000}"/>
            </a:ext>
          </a:extLst>
        </xdr:cNvPr>
        <xdr:cNvPicPr>
          <a:picLocks noChangeAspect="1" noChangeArrowheads="1"/>
        </xdr:cNvPicPr>
      </xdr:nvPicPr>
      <xdr:blipFill>
        <a:blip xmlns:r="http://schemas.openxmlformats.org/officeDocument/2006/relationships" r:embed="rId30">
          <a:clrChange>
            <a:clrFrom>
              <a:srgbClr val="FFFFFF"/>
            </a:clrFrom>
            <a:clrTo>
              <a:srgbClr val="FFFFFF">
                <a:alpha val="0"/>
              </a:srgbClr>
            </a:clrTo>
          </a:clrChange>
        </a:blip>
        <a:srcRect l="10842" r="68150"/>
        <a:stretch>
          <a:fillRect/>
        </a:stretch>
      </xdr:blipFill>
      <xdr:spPr bwMode="auto">
        <a:xfrm>
          <a:off x="3191436" y="310333145"/>
          <a:ext cx="582705" cy="248449"/>
        </a:xfrm>
        <a:prstGeom prst="rect">
          <a:avLst/>
        </a:prstGeom>
        <a:noFill/>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6"/>
  <sheetViews>
    <sheetView tabSelected="1" topLeftCell="A446" zoomScale="190" zoomScaleNormal="190" workbookViewId="0">
      <selection activeCell="F416" sqref="F416"/>
    </sheetView>
  </sheetViews>
  <sheetFormatPr defaultColWidth="8.88671875" defaultRowHeight="13.8" x14ac:dyDescent="0.3"/>
  <cols>
    <col min="1" max="1" width="14" style="1" customWidth="1"/>
    <col min="2" max="2" width="13.44140625" style="1" customWidth="1"/>
    <col min="3" max="3" width="10.33203125" style="1" customWidth="1"/>
    <col min="4" max="4" width="9.33203125" style="1" customWidth="1"/>
    <col min="5" max="5" width="13.21875" style="1" customWidth="1"/>
    <col min="6" max="6" width="11.77734375" style="1" customWidth="1"/>
    <col min="7" max="7" width="12.33203125" style="1" customWidth="1"/>
    <col min="8" max="8" width="13" style="1" customWidth="1"/>
    <col min="9" max="14" width="9.5546875" style="1" customWidth="1"/>
    <col min="15" max="16384" width="8.88671875" style="1"/>
  </cols>
  <sheetData>
    <row r="1" spans="1:8" ht="18" thickBot="1" x14ac:dyDescent="0.35">
      <c r="A1" s="221" t="s">
        <v>0</v>
      </c>
      <c r="B1" s="222"/>
      <c r="C1" s="222"/>
      <c r="D1" s="222"/>
      <c r="E1" s="222"/>
      <c r="F1" s="222"/>
      <c r="G1" s="222"/>
      <c r="H1" s="222"/>
    </row>
    <row r="2" spans="1:8" ht="27.6" x14ac:dyDescent="0.3">
      <c r="A2" s="1" t="s">
        <v>1</v>
      </c>
      <c r="B2" s="1" t="s">
        <v>2</v>
      </c>
      <c r="C2" s="1" t="s">
        <v>6</v>
      </c>
    </row>
    <row r="3" spans="1:8" x14ac:dyDescent="0.3">
      <c r="A3" s="1">
        <v>1</v>
      </c>
      <c r="B3" s="1">
        <v>13</v>
      </c>
      <c r="C3" s="1">
        <v>3</v>
      </c>
    </row>
    <row r="4" spans="1:8" x14ac:dyDescent="0.3">
      <c r="A4" s="1">
        <v>2</v>
      </c>
      <c r="B4" s="1">
        <v>15</v>
      </c>
      <c r="C4" s="1">
        <v>4</v>
      </c>
    </row>
    <row r="5" spans="1:8" x14ac:dyDescent="0.3">
      <c r="A5" s="1">
        <v>3</v>
      </c>
      <c r="B5" s="1">
        <v>8</v>
      </c>
      <c r="C5" s="1">
        <v>8</v>
      </c>
    </row>
    <row r="6" spans="1:8" x14ac:dyDescent="0.3">
      <c r="A6" s="1">
        <v>4</v>
      </c>
      <c r="B6" s="1">
        <v>16</v>
      </c>
      <c r="C6" s="1">
        <v>8</v>
      </c>
    </row>
    <row r="7" spans="1:8" x14ac:dyDescent="0.3">
      <c r="A7" s="1">
        <v>5</v>
      </c>
      <c r="B7" s="1">
        <v>8</v>
      </c>
      <c r="C7" s="1">
        <v>11</v>
      </c>
    </row>
    <row r="8" spans="1:8" x14ac:dyDescent="0.3">
      <c r="A8" s="1">
        <v>6</v>
      </c>
      <c r="B8" s="1">
        <v>4</v>
      </c>
      <c r="C8" s="1">
        <v>13</v>
      </c>
    </row>
    <row r="9" spans="1:8" x14ac:dyDescent="0.3">
      <c r="A9" s="1">
        <v>7</v>
      </c>
      <c r="B9" s="1">
        <v>21</v>
      </c>
      <c r="C9" s="1">
        <v>15</v>
      </c>
    </row>
    <row r="10" spans="1:8" x14ac:dyDescent="0.3">
      <c r="A10" s="1">
        <v>8</v>
      </c>
      <c r="B10" s="1">
        <v>11</v>
      </c>
      <c r="C10" s="1">
        <v>15</v>
      </c>
    </row>
    <row r="11" spans="1:8" x14ac:dyDescent="0.3">
      <c r="A11" s="1">
        <v>9</v>
      </c>
      <c r="B11" s="1">
        <v>3</v>
      </c>
      <c r="C11" s="1">
        <v>16</v>
      </c>
    </row>
    <row r="12" spans="1:8" x14ac:dyDescent="0.3">
      <c r="A12" s="1">
        <v>10</v>
      </c>
      <c r="B12" s="1">
        <v>15</v>
      </c>
      <c r="C12" s="1">
        <v>21</v>
      </c>
    </row>
    <row r="13" spans="1:8" x14ac:dyDescent="0.3">
      <c r="A13" s="1" t="s">
        <v>3</v>
      </c>
      <c r="B13" s="2">
        <f>SUM(B3:B12)/10</f>
        <v>11.4</v>
      </c>
    </row>
    <row r="14" spans="1:8" x14ac:dyDescent="0.3">
      <c r="A14" s="1" t="s">
        <v>3</v>
      </c>
      <c r="B14" s="2">
        <f>AVERAGE(B3:B12)</f>
        <v>11.4</v>
      </c>
    </row>
    <row r="15" spans="1:8" x14ac:dyDescent="0.3">
      <c r="A15" s="1" t="s">
        <v>5</v>
      </c>
      <c r="C15" s="2">
        <f>AVERAGE(C7:C8)</f>
        <v>12</v>
      </c>
    </row>
    <row r="16" spans="1:8" x14ac:dyDescent="0.3">
      <c r="A16" s="1" t="s">
        <v>5</v>
      </c>
      <c r="C16" s="2">
        <f>MEDIAN(C3:C12)</f>
        <v>12</v>
      </c>
    </row>
    <row r="17" spans="1:8" ht="14.4" thickBot="1" x14ac:dyDescent="0.35"/>
    <row r="18" spans="1:8" ht="18" thickBot="1" x14ac:dyDescent="0.35">
      <c r="A18" s="221" t="s">
        <v>7</v>
      </c>
      <c r="B18" s="222"/>
      <c r="C18" s="222"/>
      <c r="D18" s="222"/>
      <c r="E18" s="222"/>
      <c r="F18" s="222"/>
      <c r="G18" s="222"/>
      <c r="H18" s="222"/>
    </row>
    <row r="19" spans="1:8" ht="27.6" x14ac:dyDescent="0.3">
      <c r="A19" s="1" t="s">
        <v>9</v>
      </c>
      <c r="B19" s="1" t="s">
        <v>8</v>
      </c>
      <c r="C19" s="1" t="s">
        <v>6</v>
      </c>
    </row>
    <row r="20" spans="1:8" x14ac:dyDescent="0.3">
      <c r="A20" s="1">
        <v>1</v>
      </c>
      <c r="B20" s="1">
        <v>21</v>
      </c>
      <c r="C20" s="1">
        <v>21</v>
      </c>
    </row>
    <row r="21" spans="1:8" x14ac:dyDescent="0.3">
      <c r="A21" s="1">
        <v>2</v>
      </c>
      <c r="B21" s="1">
        <v>22</v>
      </c>
      <c r="C21" s="1">
        <v>22</v>
      </c>
    </row>
    <row r="22" spans="1:8" x14ac:dyDescent="0.3">
      <c r="A22" s="1">
        <v>3</v>
      </c>
      <c r="B22" s="1">
        <v>27</v>
      </c>
      <c r="C22" s="1">
        <v>22</v>
      </c>
    </row>
    <row r="23" spans="1:8" x14ac:dyDescent="0.3">
      <c r="A23" s="1">
        <v>4</v>
      </c>
      <c r="B23" s="1">
        <v>36</v>
      </c>
      <c r="C23" s="1">
        <v>22</v>
      </c>
    </row>
    <row r="24" spans="1:8" x14ac:dyDescent="0.3">
      <c r="A24" s="1">
        <v>5</v>
      </c>
      <c r="B24" s="1">
        <v>22</v>
      </c>
      <c r="C24" s="1">
        <v>22</v>
      </c>
    </row>
    <row r="25" spans="1:8" x14ac:dyDescent="0.3">
      <c r="A25" s="1">
        <v>6</v>
      </c>
      <c r="B25" s="1">
        <v>29</v>
      </c>
      <c r="C25" s="1">
        <v>23</v>
      </c>
    </row>
    <row r="26" spans="1:8" x14ac:dyDescent="0.3">
      <c r="A26" s="1">
        <v>7</v>
      </c>
      <c r="B26" s="1">
        <v>22</v>
      </c>
      <c r="C26" s="1">
        <v>27</v>
      </c>
    </row>
    <row r="27" spans="1:8" x14ac:dyDescent="0.3">
      <c r="A27" s="1">
        <v>8</v>
      </c>
      <c r="B27" s="1">
        <v>23</v>
      </c>
      <c r="C27" s="1">
        <v>28</v>
      </c>
    </row>
    <row r="28" spans="1:8" x14ac:dyDescent="0.3">
      <c r="A28" s="1">
        <v>9</v>
      </c>
      <c r="B28" s="1">
        <v>22</v>
      </c>
      <c r="C28" s="1">
        <v>29</v>
      </c>
    </row>
    <row r="29" spans="1:8" x14ac:dyDescent="0.3">
      <c r="A29" s="1">
        <v>10</v>
      </c>
      <c r="B29" s="1">
        <v>28</v>
      </c>
      <c r="C29" s="1">
        <v>33</v>
      </c>
    </row>
    <row r="30" spans="1:8" x14ac:dyDescent="0.3">
      <c r="A30" s="1">
        <v>11</v>
      </c>
      <c r="B30" s="1">
        <v>36</v>
      </c>
      <c r="C30" s="1">
        <v>36</v>
      </c>
    </row>
    <row r="31" spans="1:8" x14ac:dyDescent="0.3">
      <c r="A31" s="1">
        <v>12</v>
      </c>
      <c r="B31" s="1">
        <v>33</v>
      </c>
      <c r="C31" s="1">
        <v>36</v>
      </c>
    </row>
    <row r="32" spans="1:8" x14ac:dyDescent="0.3">
      <c r="A32" s="1" t="s">
        <v>3</v>
      </c>
      <c r="B32" s="2">
        <f>SUM(B20:B31)/12</f>
        <v>26.75</v>
      </c>
    </row>
    <row r="33" spans="1:8" x14ac:dyDescent="0.3">
      <c r="A33" s="1" t="s">
        <v>3</v>
      </c>
      <c r="B33" s="2">
        <f>AVERAGE(B20:B31)</f>
        <v>26.75</v>
      </c>
    </row>
    <row r="34" spans="1:8" x14ac:dyDescent="0.3">
      <c r="A34" s="1" t="s">
        <v>5</v>
      </c>
      <c r="C34" s="2">
        <f>AVERAGE(C25:C26)</f>
        <v>25</v>
      </c>
    </row>
    <row r="35" spans="1:8" x14ac:dyDescent="0.3">
      <c r="A35" s="1" t="s">
        <v>5</v>
      </c>
      <c r="C35" s="2">
        <f>MEDIAN(C20:C31)</f>
        <v>25</v>
      </c>
    </row>
    <row r="36" spans="1:8" ht="41.4" x14ac:dyDescent="0.3">
      <c r="A36" s="1" t="s">
        <v>10</v>
      </c>
      <c r="C36" s="2">
        <v>22</v>
      </c>
    </row>
    <row r="37" spans="1:8" ht="41.4" x14ac:dyDescent="0.3">
      <c r="A37" s="1" t="s">
        <v>10</v>
      </c>
      <c r="C37" s="2">
        <f>MODE(C20:C31)</f>
        <v>22</v>
      </c>
    </row>
    <row r="38" spans="1:8" ht="14.4" thickBot="1" x14ac:dyDescent="0.35">
      <c r="C38" s="3"/>
    </row>
    <row r="39" spans="1:8" ht="18" thickBot="1" x14ac:dyDescent="0.35">
      <c r="A39" s="221" t="s">
        <v>11</v>
      </c>
      <c r="B39" s="222"/>
      <c r="C39" s="222"/>
      <c r="D39" s="222"/>
      <c r="E39" s="222"/>
      <c r="F39" s="222"/>
      <c r="G39" s="222"/>
      <c r="H39" s="222"/>
    </row>
    <row r="40" spans="1:8" ht="55.2" x14ac:dyDescent="0.3">
      <c r="B40" s="1" t="s">
        <v>12</v>
      </c>
      <c r="C40" s="1" t="s">
        <v>6</v>
      </c>
    </row>
    <row r="41" spans="1:8" x14ac:dyDescent="0.3">
      <c r="A41" s="1">
        <v>1</v>
      </c>
      <c r="B41" s="1">
        <v>3.6</v>
      </c>
      <c r="C41" s="1">
        <v>3</v>
      </c>
    </row>
    <row r="42" spans="1:8" x14ac:dyDescent="0.3">
      <c r="A42" s="1">
        <v>2</v>
      </c>
      <c r="B42" s="1">
        <v>3.1</v>
      </c>
      <c r="C42" s="1">
        <v>3.1</v>
      </c>
    </row>
    <row r="43" spans="1:8" x14ac:dyDescent="0.3">
      <c r="A43" s="1">
        <v>3</v>
      </c>
      <c r="B43" s="1">
        <v>3.9</v>
      </c>
      <c r="C43" s="1">
        <v>3.4</v>
      </c>
    </row>
    <row r="44" spans="1:8" x14ac:dyDescent="0.3">
      <c r="A44" s="1">
        <v>4</v>
      </c>
      <c r="B44" s="1">
        <v>3.7</v>
      </c>
      <c r="C44" s="1">
        <v>3.4</v>
      </c>
    </row>
    <row r="45" spans="1:8" x14ac:dyDescent="0.3">
      <c r="A45" s="1">
        <v>5</v>
      </c>
      <c r="B45" s="1">
        <v>3.5</v>
      </c>
      <c r="C45" s="1">
        <v>3.5</v>
      </c>
    </row>
    <row r="46" spans="1:8" x14ac:dyDescent="0.3">
      <c r="A46" s="1">
        <v>6</v>
      </c>
      <c r="B46" s="1">
        <v>3.7</v>
      </c>
      <c r="C46" s="1">
        <v>3.6</v>
      </c>
    </row>
    <row r="47" spans="1:8" x14ac:dyDescent="0.3">
      <c r="A47" s="1">
        <v>7</v>
      </c>
      <c r="B47" s="1">
        <v>3.4</v>
      </c>
      <c r="C47" s="1">
        <v>3.6</v>
      </c>
    </row>
    <row r="48" spans="1:8" x14ac:dyDescent="0.3">
      <c r="A48" s="1">
        <v>8</v>
      </c>
      <c r="B48" s="1">
        <v>3</v>
      </c>
      <c r="C48" s="1">
        <v>3.7</v>
      </c>
    </row>
    <row r="49" spans="1:8" x14ac:dyDescent="0.3">
      <c r="A49" s="1">
        <v>9</v>
      </c>
      <c r="B49" s="1">
        <v>3.6</v>
      </c>
      <c r="C49" s="1">
        <v>3.7</v>
      </c>
    </row>
    <row r="50" spans="1:8" x14ac:dyDescent="0.3">
      <c r="A50" s="1">
        <v>10</v>
      </c>
      <c r="B50" s="1">
        <v>3.4</v>
      </c>
      <c r="C50" s="1">
        <v>3.9</v>
      </c>
    </row>
    <row r="51" spans="1:8" x14ac:dyDescent="0.3">
      <c r="A51" s="1" t="s">
        <v>3</v>
      </c>
      <c r="B51" s="2">
        <f>SUM(B41:B50)/10</f>
        <v>3.4899999999999998</v>
      </c>
    </row>
    <row r="52" spans="1:8" x14ac:dyDescent="0.3">
      <c r="A52" s="1" t="s">
        <v>3</v>
      </c>
      <c r="B52" s="2">
        <f>AVERAGE(B41:B50)</f>
        <v>3.4899999999999998</v>
      </c>
    </row>
    <row r="53" spans="1:8" x14ac:dyDescent="0.3">
      <c r="A53" s="1" t="s">
        <v>5</v>
      </c>
      <c r="C53" s="2">
        <f>AVERAGE(C45:C46)</f>
        <v>3.55</v>
      </c>
    </row>
    <row r="54" spans="1:8" x14ac:dyDescent="0.3">
      <c r="A54" s="1" t="s">
        <v>5</v>
      </c>
      <c r="C54" s="2">
        <f>MEDIAN(C41:C50)</f>
        <v>3.55</v>
      </c>
    </row>
    <row r="55" spans="1:8" ht="14.4" thickBot="1" x14ac:dyDescent="0.35"/>
    <row r="56" spans="1:8" ht="18" thickBot="1" x14ac:dyDescent="0.35">
      <c r="A56" s="221" t="s">
        <v>15</v>
      </c>
      <c r="B56" s="222"/>
      <c r="C56" s="222"/>
      <c r="D56" s="222"/>
      <c r="E56" s="222"/>
      <c r="F56" s="222"/>
      <c r="G56" s="222"/>
      <c r="H56" s="222"/>
    </row>
    <row r="57" spans="1:8" ht="55.2" x14ac:dyDescent="0.3">
      <c r="A57" s="1" t="s">
        <v>13</v>
      </c>
      <c r="B57" s="1" t="s">
        <v>14</v>
      </c>
      <c r="C57" s="1" t="s">
        <v>6</v>
      </c>
    </row>
    <row r="58" spans="1:8" x14ac:dyDescent="0.3">
      <c r="A58" s="1">
        <v>1</v>
      </c>
      <c r="B58" s="1">
        <v>2</v>
      </c>
      <c r="C58" s="1">
        <v>2</v>
      </c>
    </row>
    <row r="59" spans="1:8" x14ac:dyDescent="0.3">
      <c r="A59" s="1">
        <v>2</v>
      </c>
      <c r="B59" s="1">
        <v>4</v>
      </c>
      <c r="C59" s="1">
        <v>2</v>
      </c>
    </row>
    <row r="60" spans="1:8" x14ac:dyDescent="0.3">
      <c r="A60" s="1">
        <v>3</v>
      </c>
      <c r="B60" s="1">
        <v>2</v>
      </c>
      <c r="C60" s="1">
        <v>2</v>
      </c>
    </row>
    <row r="61" spans="1:8" x14ac:dyDescent="0.3">
      <c r="A61" s="1">
        <v>4</v>
      </c>
      <c r="B61" s="1">
        <v>3</v>
      </c>
      <c r="C61" s="1">
        <v>3</v>
      </c>
    </row>
    <row r="62" spans="1:8" x14ac:dyDescent="0.3">
      <c r="A62" s="1">
        <v>5</v>
      </c>
      <c r="B62" s="1">
        <v>5</v>
      </c>
      <c r="C62" s="1">
        <v>3</v>
      </c>
    </row>
    <row r="63" spans="1:8" x14ac:dyDescent="0.3">
      <c r="A63" s="1">
        <v>6</v>
      </c>
      <c r="B63" s="1">
        <v>4</v>
      </c>
      <c r="C63" s="1">
        <v>4</v>
      </c>
    </row>
    <row r="64" spans="1:8" x14ac:dyDescent="0.3">
      <c r="A64" s="1">
        <v>7</v>
      </c>
      <c r="B64" s="1">
        <v>3</v>
      </c>
      <c r="C64" s="1">
        <v>4</v>
      </c>
    </row>
    <row r="65" spans="1:8" x14ac:dyDescent="0.3">
      <c r="A65" s="1">
        <v>8</v>
      </c>
      <c r="B65" s="1">
        <v>2</v>
      </c>
      <c r="C65" s="1">
        <v>5</v>
      </c>
    </row>
    <row r="66" spans="1:8" x14ac:dyDescent="0.3">
      <c r="A66" s="1" t="s">
        <v>3</v>
      </c>
      <c r="B66" s="2">
        <f>SUM(B58:B65)/8</f>
        <v>3.125</v>
      </c>
    </row>
    <row r="67" spans="1:8" x14ac:dyDescent="0.3">
      <c r="A67" s="1" t="s">
        <v>3</v>
      </c>
      <c r="B67" s="2">
        <f>AVERAGE(B58:B65)</f>
        <v>3.125</v>
      </c>
    </row>
    <row r="68" spans="1:8" x14ac:dyDescent="0.3">
      <c r="A68" s="1" t="s">
        <v>5</v>
      </c>
      <c r="C68" s="2">
        <f>AVERAGE(C61:C62)</f>
        <v>3</v>
      </c>
    </row>
    <row r="69" spans="1:8" x14ac:dyDescent="0.3">
      <c r="A69" s="1" t="s">
        <v>5</v>
      </c>
      <c r="C69" s="2">
        <f>MEDIAN(C58:C65)</f>
        <v>3</v>
      </c>
    </row>
    <row r="70" spans="1:8" ht="14.4" thickBot="1" x14ac:dyDescent="0.35"/>
    <row r="71" spans="1:8" ht="18" thickBot="1" x14ac:dyDescent="0.35">
      <c r="A71" s="221" t="s">
        <v>16</v>
      </c>
      <c r="B71" s="222"/>
      <c r="C71" s="222"/>
      <c r="D71" s="222"/>
      <c r="E71" s="222"/>
      <c r="F71" s="222"/>
      <c r="G71" s="222"/>
      <c r="H71" s="222"/>
    </row>
    <row r="72" spans="1:8" ht="27.6" x14ac:dyDescent="0.3">
      <c r="A72" s="1" t="s">
        <v>17</v>
      </c>
      <c r="B72" s="1" t="s">
        <v>18</v>
      </c>
      <c r="C72" s="1" t="s">
        <v>6</v>
      </c>
    </row>
    <row r="73" spans="1:8" x14ac:dyDescent="0.3">
      <c r="A73" s="1">
        <v>1</v>
      </c>
      <c r="B73" s="1">
        <v>42</v>
      </c>
      <c r="C73" s="1">
        <v>21</v>
      </c>
    </row>
    <row r="74" spans="1:8" x14ac:dyDescent="0.3">
      <c r="A74" s="1">
        <v>2</v>
      </c>
      <c r="B74" s="1">
        <v>29</v>
      </c>
      <c r="C74" s="1">
        <v>26</v>
      </c>
    </row>
    <row r="75" spans="1:8" x14ac:dyDescent="0.3">
      <c r="A75" s="1">
        <v>3</v>
      </c>
      <c r="B75" s="1">
        <v>21</v>
      </c>
      <c r="C75" s="1">
        <v>29</v>
      </c>
    </row>
    <row r="76" spans="1:8" x14ac:dyDescent="0.3">
      <c r="A76" s="1">
        <v>4</v>
      </c>
      <c r="B76" s="1">
        <v>37</v>
      </c>
      <c r="C76" s="1">
        <v>33</v>
      </c>
    </row>
    <row r="77" spans="1:8" x14ac:dyDescent="0.3">
      <c r="A77" s="1">
        <v>5</v>
      </c>
      <c r="B77" s="1">
        <v>40</v>
      </c>
      <c r="C77" s="1">
        <v>37</v>
      </c>
    </row>
    <row r="78" spans="1:8" x14ac:dyDescent="0.3">
      <c r="A78" s="1">
        <v>6</v>
      </c>
      <c r="B78" s="1">
        <v>33</v>
      </c>
      <c r="C78" s="1">
        <v>38</v>
      </c>
    </row>
    <row r="79" spans="1:8" x14ac:dyDescent="0.3">
      <c r="A79" s="1">
        <v>7</v>
      </c>
      <c r="B79" s="1">
        <v>38</v>
      </c>
      <c r="C79" s="1">
        <v>39</v>
      </c>
    </row>
    <row r="80" spans="1:8" x14ac:dyDescent="0.3">
      <c r="A80" s="1">
        <v>8</v>
      </c>
      <c r="B80" s="1">
        <v>26</v>
      </c>
      <c r="C80" s="1">
        <v>40</v>
      </c>
    </row>
    <row r="81" spans="1:8" x14ac:dyDescent="0.3">
      <c r="A81" s="1">
        <v>9</v>
      </c>
      <c r="B81" s="1">
        <v>39</v>
      </c>
      <c r="C81" s="1">
        <v>42</v>
      </c>
    </row>
    <row r="82" spans="1:8" x14ac:dyDescent="0.3">
      <c r="A82" s="1">
        <v>10</v>
      </c>
      <c r="B82" s="1">
        <v>47</v>
      </c>
      <c r="C82" s="1">
        <v>47</v>
      </c>
    </row>
    <row r="83" spans="1:8" x14ac:dyDescent="0.3">
      <c r="A83" s="1" t="s">
        <v>3</v>
      </c>
      <c r="B83" s="2">
        <f>SUM(B73:B82)/10</f>
        <v>35.200000000000003</v>
      </c>
    </row>
    <row r="84" spans="1:8" x14ac:dyDescent="0.3">
      <c r="A84" s="1" t="s">
        <v>3</v>
      </c>
      <c r="B84" s="2">
        <f>AVERAGE(B73:B82)</f>
        <v>35.200000000000003</v>
      </c>
    </row>
    <row r="85" spans="1:8" x14ac:dyDescent="0.3">
      <c r="A85" s="1" t="s">
        <v>5</v>
      </c>
      <c r="C85" s="2">
        <f>AVERAGE(C77:C78)</f>
        <v>37.5</v>
      </c>
    </row>
    <row r="86" spans="1:8" x14ac:dyDescent="0.3">
      <c r="A86" s="1" t="s">
        <v>5</v>
      </c>
      <c r="C86" s="2">
        <f>MEDIAN(C73:C82)</f>
        <v>37.5</v>
      </c>
    </row>
    <row r="87" spans="1:8" ht="14.4" thickBot="1" x14ac:dyDescent="0.35"/>
    <row r="88" spans="1:8" ht="18" thickBot="1" x14ac:dyDescent="0.35">
      <c r="A88" s="221" t="s">
        <v>19</v>
      </c>
      <c r="B88" s="222"/>
      <c r="C88" s="222"/>
      <c r="D88" s="222"/>
      <c r="E88" s="222"/>
      <c r="F88" s="222"/>
      <c r="G88" s="222"/>
      <c r="H88" s="222"/>
    </row>
    <row r="89" spans="1:8" ht="27.6" x14ac:dyDescent="0.3">
      <c r="A89" s="1" t="s">
        <v>20</v>
      </c>
      <c r="B89" s="1" t="s">
        <v>21</v>
      </c>
      <c r="C89" s="1" t="s">
        <v>6</v>
      </c>
    </row>
    <row r="90" spans="1:8" x14ac:dyDescent="0.3">
      <c r="A90" s="1">
        <v>1</v>
      </c>
      <c r="B90" s="1">
        <v>10.199999999999999</v>
      </c>
      <c r="C90" s="1">
        <v>2.9</v>
      </c>
    </row>
    <row r="91" spans="1:8" x14ac:dyDescent="0.3">
      <c r="A91" s="1">
        <v>2</v>
      </c>
      <c r="B91" s="1">
        <v>3.1</v>
      </c>
      <c r="C91" s="1">
        <v>3.1</v>
      </c>
    </row>
    <row r="92" spans="1:8" x14ac:dyDescent="0.3">
      <c r="A92" s="1">
        <v>3</v>
      </c>
      <c r="B92" s="1">
        <v>5.9</v>
      </c>
      <c r="C92" s="1">
        <v>3.7</v>
      </c>
    </row>
    <row r="93" spans="1:8" x14ac:dyDescent="0.3">
      <c r="A93" s="1">
        <v>4</v>
      </c>
      <c r="B93" s="1">
        <v>7</v>
      </c>
      <c r="C93" s="1">
        <v>4.3</v>
      </c>
    </row>
    <row r="94" spans="1:8" x14ac:dyDescent="0.3">
      <c r="A94" s="1">
        <v>5</v>
      </c>
      <c r="B94" s="1">
        <v>3.7</v>
      </c>
      <c r="C94" s="1">
        <v>5.9</v>
      </c>
    </row>
    <row r="95" spans="1:8" x14ac:dyDescent="0.3">
      <c r="A95" s="1">
        <v>6</v>
      </c>
      <c r="B95" s="1">
        <v>2.9</v>
      </c>
      <c r="C95" s="1">
        <v>6.8</v>
      </c>
    </row>
    <row r="96" spans="1:8" x14ac:dyDescent="0.3">
      <c r="A96" s="1">
        <v>7</v>
      </c>
      <c r="B96" s="1">
        <v>6.8</v>
      </c>
      <c r="C96" s="1">
        <v>7</v>
      </c>
    </row>
    <row r="97" spans="1:8" x14ac:dyDescent="0.3">
      <c r="A97" s="1">
        <v>8</v>
      </c>
      <c r="B97" s="1">
        <v>7.3</v>
      </c>
      <c r="C97" s="1">
        <v>7.3</v>
      </c>
    </row>
    <row r="98" spans="1:8" x14ac:dyDescent="0.3">
      <c r="A98" s="1">
        <v>9</v>
      </c>
      <c r="B98" s="1">
        <v>8.1999999999999993</v>
      </c>
      <c r="C98" s="1">
        <v>8.1999999999999993</v>
      </c>
    </row>
    <row r="99" spans="1:8" x14ac:dyDescent="0.3">
      <c r="A99" s="1">
        <v>10</v>
      </c>
      <c r="B99" s="1">
        <v>4.3</v>
      </c>
      <c r="C99" s="1">
        <v>10.199999999999999</v>
      </c>
    </row>
    <row r="100" spans="1:8" x14ac:dyDescent="0.3">
      <c r="A100" s="1" t="s">
        <v>3</v>
      </c>
      <c r="B100" s="2">
        <f>SUM(B90:B99)/10</f>
        <v>5.9399999999999995</v>
      </c>
    </row>
    <row r="101" spans="1:8" x14ac:dyDescent="0.3">
      <c r="A101" s="1" t="s">
        <v>3</v>
      </c>
      <c r="B101" s="2">
        <f>AVERAGE(B90:B99)</f>
        <v>5.9399999999999995</v>
      </c>
    </row>
    <row r="102" spans="1:8" x14ac:dyDescent="0.3">
      <c r="A102" s="1" t="s">
        <v>5</v>
      </c>
      <c r="C102" s="2">
        <f>AVERAGE(C94:C95)</f>
        <v>6.35</v>
      </c>
    </row>
    <row r="103" spans="1:8" x14ac:dyDescent="0.3">
      <c r="A103" s="1" t="s">
        <v>5</v>
      </c>
      <c r="C103" s="2">
        <f>MEDIAN(C90:C99)</f>
        <v>6.35</v>
      </c>
    </row>
    <row r="104" spans="1:8" ht="14.4" thickBot="1" x14ac:dyDescent="0.35"/>
    <row r="105" spans="1:8" ht="18" thickBot="1" x14ac:dyDescent="0.35">
      <c r="A105" s="221" t="s">
        <v>22</v>
      </c>
      <c r="B105" s="222"/>
      <c r="C105" s="222"/>
      <c r="D105" s="222"/>
      <c r="E105" s="222"/>
      <c r="F105" s="222"/>
      <c r="G105" s="222"/>
      <c r="H105" s="222"/>
    </row>
    <row r="106" spans="1:8" ht="41.4" x14ac:dyDescent="0.3">
      <c r="A106" s="1" t="s">
        <v>23</v>
      </c>
      <c r="B106" s="1" t="s">
        <v>24</v>
      </c>
      <c r="C106" s="1" t="s">
        <v>6</v>
      </c>
    </row>
    <row r="107" spans="1:8" x14ac:dyDescent="0.3">
      <c r="A107" s="1">
        <v>1</v>
      </c>
      <c r="B107" s="1">
        <v>15.8</v>
      </c>
      <c r="C107" s="1">
        <v>7.3</v>
      </c>
    </row>
    <row r="108" spans="1:8" x14ac:dyDescent="0.3">
      <c r="A108" s="1">
        <v>2</v>
      </c>
      <c r="B108" s="1">
        <v>7.3</v>
      </c>
      <c r="C108" s="1">
        <v>10.199999999999999</v>
      </c>
    </row>
    <row r="109" spans="1:8" x14ac:dyDescent="0.3">
      <c r="A109" s="1">
        <v>3</v>
      </c>
      <c r="B109" s="1">
        <v>28.4</v>
      </c>
      <c r="C109" s="1">
        <v>13.1</v>
      </c>
    </row>
    <row r="110" spans="1:8" x14ac:dyDescent="0.3">
      <c r="A110" s="1">
        <v>4</v>
      </c>
      <c r="B110" s="1">
        <v>18.2</v>
      </c>
      <c r="C110" s="1">
        <v>15</v>
      </c>
    </row>
    <row r="111" spans="1:8" x14ac:dyDescent="0.3">
      <c r="A111" s="1">
        <v>5</v>
      </c>
      <c r="B111" s="1">
        <v>15</v>
      </c>
      <c r="C111" s="1">
        <v>15.8</v>
      </c>
    </row>
    <row r="112" spans="1:8" x14ac:dyDescent="0.3">
      <c r="A112" s="1">
        <v>6</v>
      </c>
      <c r="B112" s="1">
        <v>24.7</v>
      </c>
      <c r="C112" s="1">
        <v>16.899999999999999</v>
      </c>
    </row>
    <row r="113" spans="1:9" x14ac:dyDescent="0.3">
      <c r="A113" s="1">
        <v>7</v>
      </c>
      <c r="B113" s="1">
        <v>13.1</v>
      </c>
      <c r="C113" s="1">
        <v>18.2</v>
      </c>
    </row>
    <row r="114" spans="1:9" x14ac:dyDescent="0.3">
      <c r="A114" s="1">
        <v>8</v>
      </c>
      <c r="B114" s="1">
        <v>10.199999999999999</v>
      </c>
      <c r="C114" s="1">
        <v>24.7</v>
      </c>
    </row>
    <row r="115" spans="1:9" x14ac:dyDescent="0.3">
      <c r="A115" s="1">
        <v>9</v>
      </c>
      <c r="B115" s="1">
        <v>29.3</v>
      </c>
      <c r="C115" s="1">
        <v>25.3</v>
      </c>
    </row>
    <row r="116" spans="1:9" x14ac:dyDescent="0.3">
      <c r="A116" s="1">
        <v>10</v>
      </c>
      <c r="B116" s="1">
        <v>34.700000000000003</v>
      </c>
      <c r="C116" s="1">
        <v>28.4</v>
      </c>
    </row>
    <row r="117" spans="1:9" x14ac:dyDescent="0.3">
      <c r="A117" s="1">
        <v>11</v>
      </c>
      <c r="B117" s="1">
        <v>16.899999999999999</v>
      </c>
      <c r="C117" s="1">
        <v>29.3</v>
      </c>
    </row>
    <row r="118" spans="1:9" x14ac:dyDescent="0.3">
      <c r="A118" s="1">
        <v>12</v>
      </c>
      <c r="B118" s="1">
        <v>25.3</v>
      </c>
      <c r="C118" s="1">
        <v>34.700000000000003</v>
      </c>
    </row>
    <row r="119" spans="1:9" x14ac:dyDescent="0.3">
      <c r="A119" s="1" t="s">
        <v>3</v>
      </c>
      <c r="B119" s="2">
        <f>SUM(B107:B118)/12</f>
        <v>19.908333333333335</v>
      </c>
    </row>
    <row r="120" spans="1:9" x14ac:dyDescent="0.3">
      <c r="A120" s="1" t="s">
        <v>3</v>
      </c>
      <c r="B120" s="2">
        <f>AVERAGE(B107:B118)</f>
        <v>19.908333333333335</v>
      </c>
    </row>
    <row r="121" spans="1:9" x14ac:dyDescent="0.3">
      <c r="A121" s="1" t="s">
        <v>5</v>
      </c>
      <c r="C121" s="2">
        <f>AVERAGE(C112:C113)</f>
        <v>17.549999999999997</v>
      </c>
    </row>
    <row r="122" spans="1:9" x14ac:dyDescent="0.3">
      <c r="A122" s="1" t="s">
        <v>5</v>
      </c>
      <c r="C122" s="2">
        <f>MEDIAN(C107:C118)</f>
        <v>17.549999999999997</v>
      </c>
    </row>
    <row r="123" spans="1:9" ht="14.4" thickBot="1" x14ac:dyDescent="0.35"/>
    <row r="124" spans="1:9" ht="18" customHeight="1" thickBot="1" x14ac:dyDescent="0.35">
      <c r="A124" s="221" t="s">
        <v>25</v>
      </c>
      <c r="B124" s="222"/>
      <c r="C124" s="222"/>
      <c r="D124" s="222"/>
      <c r="E124" s="222"/>
      <c r="F124" s="222"/>
      <c r="G124" s="222"/>
      <c r="H124" s="227"/>
      <c r="I124" s="6"/>
    </row>
    <row r="125" spans="1:9" x14ac:dyDescent="0.3">
      <c r="A125" s="1">
        <v>1</v>
      </c>
      <c r="B125" s="225" t="s">
        <v>26</v>
      </c>
      <c r="C125" s="225"/>
      <c r="D125" s="225"/>
      <c r="E125" s="225"/>
      <c r="F125" s="225"/>
      <c r="G125" s="225"/>
      <c r="H125" s="225"/>
    </row>
    <row r="126" spans="1:9" x14ac:dyDescent="0.3">
      <c r="A126" s="1">
        <v>2</v>
      </c>
      <c r="B126" s="225" t="s">
        <v>27</v>
      </c>
      <c r="C126" s="225"/>
      <c r="D126" s="225"/>
      <c r="E126" s="225"/>
      <c r="F126" s="225"/>
      <c r="G126" s="225"/>
      <c r="H126" s="225"/>
    </row>
    <row r="127" spans="1:9" ht="27" customHeight="1" x14ac:dyDescent="0.3">
      <c r="A127" s="1">
        <v>3</v>
      </c>
      <c r="B127" s="225" t="s">
        <v>28</v>
      </c>
      <c r="C127" s="225"/>
      <c r="D127" s="225"/>
      <c r="E127" s="225"/>
      <c r="F127" s="225"/>
      <c r="G127" s="225"/>
      <c r="H127" s="225"/>
    </row>
    <row r="128" spans="1:9" ht="16.2" customHeight="1" thickBot="1" x14ac:dyDescent="0.35"/>
    <row r="129" spans="1:8" ht="18" thickBot="1" x14ac:dyDescent="0.35">
      <c r="A129" s="221" t="s">
        <v>29</v>
      </c>
      <c r="B129" s="222"/>
      <c r="C129" s="222"/>
      <c r="D129" s="222"/>
      <c r="E129" s="222"/>
      <c r="F129" s="222"/>
      <c r="G129" s="222"/>
      <c r="H129" s="222"/>
    </row>
    <row r="130" spans="1:8" ht="27.6" x14ac:dyDescent="0.3">
      <c r="A130" s="1" t="s">
        <v>1</v>
      </c>
      <c r="B130" s="1" t="s">
        <v>2</v>
      </c>
      <c r="C130" s="1" t="s">
        <v>6</v>
      </c>
      <c r="D130" s="226" t="s">
        <v>32</v>
      </c>
      <c r="E130" s="226"/>
      <c r="F130" s="226"/>
      <c r="G130" s="1" t="s">
        <v>33</v>
      </c>
      <c r="H130" s="1" t="s">
        <v>38</v>
      </c>
    </row>
    <row r="131" spans="1:8" x14ac:dyDescent="0.3">
      <c r="A131" s="1">
        <v>1</v>
      </c>
      <c r="B131" s="1">
        <v>13</v>
      </c>
      <c r="C131" s="1">
        <v>3</v>
      </c>
      <c r="D131" s="225">
        <f>B131-$B$141</f>
        <v>1.5999999999999996</v>
      </c>
      <c r="E131" s="225"/>
      <c r="F131" s="225"/>
      <c r="G131" s="1">
        <f>D131*D131</f>
        <v>2.5599999999999987</v>
      </c>
      <c r="H131" s="1">
        <f>ABS(D131)</f>
        <v>1.5999999999999996</v>
      </c>
    </row>
    <row r="132" spans="1:8" x14ac:dyDescent="0.3">
      <c r="A132" s="1">
        <v>2</v>
      </c>
      <c r="B132" s="1">
        <v>15</v>
      </c>
      <c r="C132" s="1">
        <v>4</v>
      </c>
      <c r="D132" s="225">
        <f t="shared" ref="D132:D140" si="0">B132-$B$141</f>
        <v>3.5999999999999996</v>
      </c>
      <c r="E132" s="225"/>
      <c r="F132" s="225"/>
      <c r="G132" s="1">
        <f t="shared" ref="G132:G140" si="1">D132*D132</f>
        <v>12.959999999999997</v>
      </c>
      <c r="H132" s="1">
        <f t="shared" ref="H132:H140" si="2">ABS(D132)</f>
        <v>3.5999999999999996</v>
      </c>
    </row>
    <row r="133" spans="1:8" x14ac:dyDescent="0.3">
      <c r="A133" s="1">
        <v>3</v>
      </c>
      <c r="B133" s="1">
        <v>8</v>
      </c>
      <c r="C133" s="1">
        <v>8</v>
      </c>
      <c r="D133" s="225">
        <f t="shared" si="0"/>
        <v>-3.4000000000000004</v>
      </c>
      <c r="E133" s="225"/>
      <c r="F133" s="225"/>
      <c r="G133" s="1">
        <f t="shared" si="1"/>
        <v>11.560000000000002</v>
      </c>
      <c r="H133" s="1">
        <f t="shared" si="2"/>
        <v>3.4000000000000004</v>
      </c>
    </row>
    <row r="134" spans="1:8" x14ac:dyDescent="0.3">
      <c r="A134" s="1">
        <v>4</v>
      </c>
      <c r="B134" s="1">
        <v>16</v>
      </c>
      <c r="C134" s="1">
        <v>8</v>
      </c>
      <c r="D134" s="225">
        <f t="shared" si="0"/>
        <v>4.5999999999999996</v>
      </c>
      <c r="E134" s="225"/>
      <c r="F134" s="225"/>
      <c r="G134" s="1">
        <f t="shared" si="1"/>
        <v>21.159999999999997</v>
      </c>
      <c r="H134" s="1">
        <f t="shared" si="2"/>
        <v>4.5999999999999996</v>
      </c>
    </row>
    <row r="135" spans="1:8" x14ac:dyDescent="0.3">
      <c r="A135" s="1">
        <v>5</v>
      </c>
      <c r="B135" s="1">
        <v>8</v>
      </c>
      <c r="C135" s="1">
        <v>11</v>
      </c>
      <c r="D135" s="225">
        <f t="shared" si="0"/>
        <v>-3.4000000000000004</v>
      </c>
      <c r="E135" s="225"/>
      <c r="F135" s="225"/>
      <c r="G135" s="1">
        <f t="shared" si="1"/>
        <v>11.560000000000002</v>
      </c>
      <c r="H135" s="1">
        <f t="shared" si="2"/>
        <v>3.4000000000000004</v>
      </c>
    </row>
    <row r="136" spans="1:8" x14ac:dyDescent="0.3">
      <c r="A136" s="1">
        <v>6</v>
      </c>
      <c r="B136" s="1">
        <v>4</v>
      </c>
      <c r="C136" s="1">
        <v>13</v>
      </c>
      <c r="D136" s="225">
        <f t="shared" si="0"/>
        <v>-7.4</v>
      </c>
      <c r="E136" s="225"/>
      <c r="F136" s="225"/>
      <c r="G136" s="1">
        <f t="shared" si="1"/>
        <v>54.760000000000005</v>
      </c>
      <c r="H136" s="1">
        <f t="shared" si="2"/>
        <v>7.4</v>
      </c>
    </row>
    <row r="137" spans="1:8" x14ac:dyDescent="0.3">
      <c r="A137" s="1">
        <v>7</v>
      </c>
      <c r="B137" s="1">
        <v>21</v>
      </c>
      <c r="C137" s="1">
        <v>15</v>
      </c>
      <c r="D137" s="225">
        <f t="shared" si="0"/>
        <v>9.6</v>
      </c>
      <c r="E137" s="225"/>
      <c r="F137" s="225"/>
      <c r="G137" s="1">
        <f t="shared" si="1"/>
        <v>92.16</v>
      </c>
      <c r="H137" s="1">
        <f t="shared" si="2"/>
        <v>9.6</v>
      </c>
    </row>
    <row r="138" spans="1:8" x14ac:dyDescent="0.3">
      <c r="A138" s="1">
        <v>8</v>
      </c>
      <c r="B138" s="1">
        <v>11</v>
      </c>
      <c r="C138" s="1">
        <v>15</v>
      </c>
      <c r="D138" s="225">
        <f t="shared" si="0"/>
        <v>-0.40000000000000036</v>
      </c>
      <c r="E138" s="225"/>
      <c r="F138" s="225"/>
      <c r="G138" s="1">
        <f t="shared" si="1"/>
        <v>0.16000000000000028</v>
      </c>
      <c r="H138" s="1">
        <f t="shared" si="2"/>
        <v>0.40000000000000036</v>
      </c>
    </row>
    <row r="139" spans="1:8" x14ac:dyDescent="0.3">
      <c r="A139" s="1">
        <v>9</v>
      </c>
      <c r="B139" s="1">
        <v>3</v>
      </c>
      <c r="C139" s="1">
        <v>16</v>
      </c>
      <c r="D139" s="225">
        <f t="shared" si="0"/>
        <v>-8.4</v>
      </c>
      <c r="E139" s="225"/>
      <c r="F139" s="225"/>
      <c r="G139" s="1">
        <f t="shared" si="1"/>
        <v>70.56</v>
      </c>
      <c r="H139" s="1">
        <f t="shared" si="2"/>
        <v>8.4</v>
      </c>
    </row>
    <row r="140" spans="1:8" x14ac:dyDescent="0.3">
      <c r="A140" s="1">
        <v>10</v>
      </c>
      <c r="B140" s="1">
        <v>15</v>
      </c>
      <c r="C140" s="1">
        <v>21</v>
      </c>
      <c r="D140" s="225">
        <f t="shared" si="0"/>
        <v>3.5999999999999996</v>
      </c>
      <c r="E140" s="225"/>
      <c r="F140" s="225"/>
      <c r="G140" s="1">
        <f t="shared" si="1"/>
        <v>12.959999999999997</v>
      </c>
      <c r="H140" s="1">
        <f t="shared" si="2"/>
        <v>3.5999999999999996</v>
      </c>
    </row>
    <row r="141" spans="1:8" x14ac:dyDescent="0.3">
      <c r="A141" s="1" t="s">
        <v>3</v>
      </c>
      <c r="B141" s="4">
        <f>AVERAGE(B131:B140)</f>
        <v>11.4</v>
      </c>
      <c r="D141" s="225"/>
      <c r="E141" s="225"/>
      <c r="F141" s="225"/>
    </row>
    <row r="142" spans="1:8" ht="27.6" x14ac:dyDescent="0.3">
      <c r="A142" s="1" t="s">
        <v>30</v>
      </c>
      <c r="D142" s="225"/>
      <c r="E142" s="225"/>
      <c r="F142" s="225"/>
      <c r="G142" s="2">
        <f>SUM(G131:G140)/10</f>
        <v>29.04</v>
      </c>
    </row>
    <row r="143" spans="1:8" ht="27.6" x14ac:dyDescent="0.3">
      <c r="A143" s="1" t="s">
        <v>30</v>
      </c>
      <c r="B143" s="2">
        <f>VARP(B131:B140)</f>
        <v>29.04</v>
      </c>
      <c r="D143" s="225"/>
      <c r="E143" s="225"/>
      <c r="F143" s="225"/>
    </row>
    <row r="144" spans="1:8" ht="41.4" x14ac:dyDescent="0.3">
      <c r="A144" s="1" t="s">
        <v>31</v>
      </c>
      <c r="D144" s="225"/>
      <c r="E144" s="225"/>
      <c r="F144" s="225"/>
      <c r="G144" s="2">
        <f>SQRT(G142)</f>
        <v>5.3888774341229917</v>
      </c>
    </row>
    <row r="145" spans="1:8" ht="41.4" x14ac:dyDescent="0.3">
      <c r="A145" s="1" t="s">
        <v>31</v>
      </c>
      <c r="B145" s="2">
        <f>STDEVP(B131:B140)</f>
        <v>5.3888774341229917</v>
      </c>
      <c r="D145" s="225"/>
      <c r="E145" s="225"/>
      <c r="F145" s="225"/>
    </row>
    <row r="146" spans="1:8" ht="41.4" x14ac:dyDescent="0.3">
      <c r="A146" s="1" t="s">
        <v>35</v>
      </c>
      <c r="H146" s="2">
        <f>SUM(H131:H140)/10</f>
        <v>4.5999999999999996</v>
      </c>
    </row>
    <row r="147" spans="1:8" ht="41.4" x14ac:dyDescent="0.3">
      <c r="A147" s="1" t="s">
        <v>35</v>
      </c>
      <c r="B147" s="2">
        <f>AVEDEV(B131:B140)</f>
        <v>4.5999999999999996</v>
      </c>
    </row>
    <row r="148" spans="1:8" x14ac:dyDescent="0.3">
      <c r="A148" s="1" t="s">
        <v>36</v>
      </c>
      <c r="C148" s="2">
        <f>C140-C131</f>
        <v>18</v>
      </c>
    </row>
    <row r="149" spans="1:8" ht="14.4" customHeight="1" x14ac:dyDescent="0.3">
      <c r="A149" s="225" t="s">
        <v>41</v>
      </c>
      <c r="B149" s="4" t="s">
        <v>39</v>
      </c>
      <c r="C149" s="1">
        <f>C132+(C133-C132)*0.75</f>
        <v>7</v>
      </c>
      <c r="D149" s="1">
        <f>QUARTILE($C$131:$C$140,1)</f>
        <v>8</v>
      </c>
    </row>
    <row r="150" spans="1:8" x14ac:dyDescent="0.3">
      <c r="A150" s="225"/>
      <c r="B150" s="4" t="s">
        <v>40</v>
      </c>
      <c r="C150" s="1">
        <f>C138+(C139-C138)*0.25</f>
        <v>15.25</v>
      </c>
      <c r="D150" s="1">
        <f>QUARTILE($C$131:$C$140,3)</f>
        <v>15</v>
      </c>
    </row>
    <row r="151" spans="1:8" ht="27.6" x14ac:dyDescent="0.3">
      <c r="A151" s="225"/>
      <c r="B151" s="1" t="s">
        <v>37</v>
      </c>
      <c r="C151" s="2">
        <f>C150-C149</f>
        <v>8.25</v>
      </c>
      <c r="D151" s="2">
        <f>D150-D149</f>
        <v>7</v>
      </c>
    </row>
    <row r="152" spans="1:8" ht="14.4" thickBot="1" x14ac:dyDescent="0.35"/>
    <row r="153" spans="1:8" ht="18" thickBot="1" x14ac:dyDescent="0.35">
      <c r="A153" s="221" t="s">
        <v>34</v>
      </c>
      <c r="B153" s="222"/>
      <c r="C153" s="222"/>
      <c r="D153" s="222"/>
      <c r="E153" s="222"/>
      <c r="F153" s="222"/>
      <c r="G153" s="222"/>
      <c r="H153" s="222"/>
    </row>
    <row r="154" spans="1:8" ht="27.6" x14ac:dyDescent="0.3">
      <c r="A154" s="1" t="s">
        <v>9</v>
      </c>
      <c r="B154" s="1" t="s">
        <v>8</v>
      </c>
      <c r="C154" s="1" t="s">
        <v>6</v>
      </c>
      <c r="D154" s="226" t="s">
        <v>32</v>
      </c>
      <c r="E154" s="226"/>
      <c r="F154" s="226"/>
      <c r="G154" s="1" t="s">
        <v>33</v>
      </c>
      <c r="H154" s="1" t="s">
        <v>38</v>
      </c>
    </row>
    <row r="155" spans="1:8" x14ac:dyDescent="0.3">
      <c r="A155" s="1">
        <v>1</v>
      </c>
      <c r="B155" s="1">
        <v>21</v>
      </c>
      <c r="C155" s="1">
        <v>21</v>
      </c>
      <c r="D155" s="225">
        <f>B155-$B$167</f>
        <v>-5.75</v>
      </c>
      <c r="E155" s="225"/>
      <c r="F155" s="225"/>
      <c r="G155" s="1">
        <f>D155*D155</f>
        <v>33.0625</v>
      </c>
      <c r="H155" s="1">
        <f>ABS(D155)</f>
        <v>5.75</v>
      </c>
    </row>
    <row r="156" spans="1:8" x14ac:dyDescent="0.3">
      <c r="A156" s="1">
        <v>2</v>
      </c>
      <c r="B156" s="1">
        <v>22</v>
      </c>
      <c r="C156" s="1">
        <v>22</v>
      </c>
      <c r="D156" s="225">
        <f t="shared" ref="D156:D166" si="3">B156-$B$167</f>
        <v>-4.75</v>
      </c>
      <c r="E156" s="225"/>
      <c r="F156" s="225"/>
      <c r="G156" s="1">
        <f t="shared" ref="G156:G166" si="4">D156*D156</f>
        <v>22.5625</v>
      </c>
      <c r="H156" s="1">
        <f t="shared" ref="H156:H166" si="5">ABS(D156)</f>
        <v>4.75</v>
      </c>
    </row>
    <row r="157" spans="1:8" x14ac:dyDescent="0.3">
      <c r="A157" s="1">
        <v>3</v>
      </c>
      <c r="B157" s="1">
        <v>27</v>
      </c>
      <c r="C157" s="1">
        <v>22</v>
      </c>
      <c r="D157" s="225">
        <f t="shared" si="3"/>
        <v>0.25</v>
      </c>
      <c r="E157" s="225"/>
      <c r="F157" s="225"/>
      <c r="G157" s="1">
        <f t="shared" si="4"/>
        <v>6.25E-2</v>
      </c>
      <c r="H157" s="1">
        <f t="shared" si="5"/>
        <v>0.25</v>
      </c>
    </row>
    <row r="158" spans="1:8" x14ac:dyDescent="0.3">
      <c r="A158" s="1">
        <v>4</v>
      </c>
      <c r="B158" s="1">
        <v>36</v>
      </c>
      <c r="C158" s="1">
        <v>22</v>
      </c>
      <c r="D158" s="225">
        <f t="shared" si="3"/>
        <v>9.25</v>
      </c>
      <c r="E158" s="225"/>
      <c r="F158" s="225"/>
      <c r="G158" s="1">
        <f t="shared" si="4"/>
        <v>85.5625</v>
      </c>
      <c r="H158" s="1">
        <f t="shared" si="5"/>
        <v>9.25</v>
      </c>
    </row>
    <row r="159" spans="1:8" x14ac:dyDescent="0.3">
      <c r="A159" s="1">
        <v>5</v>
      </c>
      <c r="B159" s="1">
        <v>22</v>
      </c>
      <c r="C159" s="1">
        <v>22</v>
      </c>
      <c r="D159" s="225">
        <f t="shared" si="3"/>
        <v>-4.75</v>
      </c>
      <c r="E159" s="225"/>
      <c r="F159" s="225"/>
      <c r="G159" s="1">
        <f t="shared" si="4"/>
        <v>22.5625</v>
      </c>
      <c r="H159" s="1">
        <f t="shared" si="5"/>
        <v>4.75</v>
      </c>
    </row>
    <row r="160" spans="1:8" x14ac:dyDescent="0.3">
      <c r="A160" s="1">
        <v>6</v>
      </c>
      <c r="B160" s="1">
        <v>29</v>
      </c>
      <c r="C160" s="1">
        <v>23</v>
      </c>
      <c r="D160" s="225">
        <f t="shared" si="3"/>
        <v>2.25</v>
      </c>
      <c r="E160" s="225"/>
      <c r="F160" s="225"/>
      <c r="G160" s="1">
        <f t="shared" si="4"/>
        <v>5.0625</v>
      </c>
      <c r="H160" s="1">
        <f t="shared" si="5"/>
        <v>2.25</v>
      </c>
    </row>
    <row r="161" spans="1:8" x14ac:dyDescent="0.3">
      <c r="A161" s="1">
        <v>7</v>
      </c>
      <c r="B161" s="1">
        <v>22</v>
      </c>
      <c r="C161" s="1">
        <v>27</v>
      </c>
      <c r="D161" s="225">
        <f t="shared" si="3"/>
        <v>-4.75</v>
      </c>
      <c r="E161" s="225"/>
      <c r="F161" s="225"/>
      <c r="G161" s="1">
        <f t="shared" si="4"/>
        <v>22.5625</v>
      </c>
      <c r="H161" s="1">
        <f t="shared" si="5"/>
        <v>4.75</v>
      </c>
    </row>
    <row r="162" spans="1:8" x14ac:dyDescent="0.3">
      <c r="A162" s="1">
        <v>8</v>
      </c>
      <c r="B162" s="1">
        <v>23</v>
      </c>
      <c r="C162" s="1">
        <v>28</v>
      </c>
      <c r="D162" s="225">
        <f t="shared" si="3"/>
        <v>-3.75</v>
      </c>
      <c r="E162" s="225"/>
      <c r="F162" s="225"/>
      <c r="G162" s="1">
        <f t="shared" si="4"/>
        <v>14.0625</v>
      </c>
      <c r="H162" s="1">
        <f t="shared" si="5"/>
        <v>3.75</v>
      </c>
    </row>
    <row r="163" spans="1:8" x14ac:dyDescent="0.3">
      <c r="A163" s="1">
        <v>9</v>
      </c>
      <c r="B163" s="1">
        <v>22</v>
      </c>
      <c r="C163" s="1">
        <v>29</v>
      </c>
      <c r="D163" s="225">
        <f t="shared" si="3"/>
        <v>-4.75</v>
      </c>
      <c r="E163" s="225"/>
      <c r="F163" s="225"/>
      <c r="G163" s="1">
        <f t="shared" si="4"/>
        <v>22.5625</v>
      </c>
      <c r="H163" s="1">
        <f t="shared" si="5"/>
        <v>4.75</v>
      </c>
    </row>
    <row r="164" spans="1:8" x14ac:dyDescent="0.3">
      <c r="A164" s="1">
        <v>10</v>
      </c>
      <c r="B164" s="1">
        <v>28</v>
      </c>
      <c r="C164" s="1">
        <v>33</v>
      </c>
      <c r="D164" s="225">
        <f t="shared" si="3"/>
        <v>1.25</v>
      </c>
      <c r="E164" s="225"/>
      <c r="F164" s="225"/>
      <c r="G164" s="1">
        <f t="shared" si="4"/>
        <v>1.5625</v>
      </c>
      <c r="H164" s="1">
        <f t="shared" si="5"/>
        <v>1.25</v>
      </c>
    </row>
    <row r="165" spans="1:8" x14ac:dyDescent="0.3">
      <c r="A165" s="1">
        <v>11</v>
      </c>
      <c r="B165" s="1">
        <v>36</v>
      </c>
      <c r="C165" s="1">
        <v>36</v>
      </c>
      <c r="D165" s="225">
        <f t="shared" si="3"/>
        <v>9.25</v>
      </c>
      <c r="E165" s="225"/>
      <c r="F165" s="225"/>
      <c r="G165" s="1">
        <f t="shared" si="4"/>
        <v>85.5625</v>
      </c>
      <c r="H165" s="1">
        <f t="shared" si="5"/>
        <v>9.25</v>
      </c>
    </row>
    <row r="166" spans="1:8" x14ac:dyDescent="0.3">
      <c r="A166" s="1">
        <v>12</v>
      </c>
      <c r="B166" s="1">
        <v>33</v>
      </c>
      <c r="C166" s="1">
        <v>36</v>
      </c>
      <c r="D166" s="225">
        <f t="shared" si="3"/>
        <v>6.25</v>
      </c>
      <c r="E166" s="225"/>
      <c r="F166" s="225"/>
      <c r="G166" s="1">
        <f t="shared" si="4"/>
        <v>39.0625</v>
      </c>
      <c r="H166" s="1">
        <f t="shared" si="5"/>
        <v>6.25</v>
      </c>
    </row>
    <row r="167" spans="1:8" x14ac:dyDescent="0.3">
      <c r="A167" s="1" t="s">
        <v>3</v>
      </c>
      <c r="B167" s="4">
        <f>SUM(B155:B166)/12</f>
        <v>26.75</v>
      </c>
      <c r="D167" s="225"/>
      <c r="E167" s="225"/>
      <c r="F167" s="225"/>
    </row>
    <row r="168" spans="1:8" ht="27.6" x14ac:dyDescent="0.3">
      <c r="A168" s="1" t="s">
        <v>30</v>
      </c>
      <c r="D168" s="225"/>
      <c r="E168" s="225"/>
      <c r="F168" s="225"/>
      <c r="G168" s="2">
        <f>SUM(G155:G166)/12</f>
        <v>29.520833333333332</v>
      </c>
    </row>
    <row r="169" spans="1:8" ht="27.6" x14ac:dyDescent="0.3">
      <c r="A169" s="1" t="s">
        <v>30</v>
      </c>
      <c r="B169" s="2">
        <f>VARP(B155:B166)</f>
        <v>29.520833333333332</v>
      </c>
      <c r="D169" s="225"/>
      <c r="E169" s="225"/>
      <c r="F169" s="225"/>
    </row>
    <row r="170" spans="1:8" ht="41.4" x14ac:dyDescent="0.3">
      <c r="A170" s="1" t="s">
        <v>31</v>
      </c>
      <c r="D170" s="225"/>
      <c r="E170" s="225"/>
      <c r="F170" s="225"/>
      <c r="G170" s="2">
        <f>SQRT(G168)</f>
        <v>5.4333077709010125</v>
      </c>
    </row>
    <row r="171" spans="1:8" ht="41.4" x14ac:dyDescent="0.3">
      <c r="A171" s="1" t="s">
        <v>31</v>
      </c>
      <c r="B171" s="2">
        <f>STDEVP(B155:B166)</f>
        <v>5.4333077709010125</v>
      </c>
      <c r="D171" s="225"/>
      <c r="E171" s="225"/>
      <c r="F171" s="225"/>
    </row>
    <row r="172" spans="1:8" ht="41.4" x14ac:dyDescent="0.3">
      <c r="A172" s="1" t="s">
        <v>35</v>
      </c>
      <c r="D172" s="225"/>
      <c r="E172" s="225"/>
      <c r="F172" s="225"/>
      <c r="H172" s="2">
        <f>SUM(H155:H166)/12</f>
        <v>4.75</v>
      </c>
    </row>
    <row r="173" spans="1:8" ht="41.4" x14ac:dyDescent="0.3">
      <c r="A173" s="1" t="s">
        <v>35</v>
      </c>
      <c r="B173" s="2">
        <f>AVEDEV(B155:B166)</f>
        <v>4.75</v>
      </c>
      <c r="D173" s="225"/>
      <c r="E173" s="225"/>
      <c r="F173" s="225"/>
    </row>
    <row r="174" spans="1:8" x14ac:dyDescent="0.3">
      <c r="A174" s="1" t="s">
        <v>36</v>
      </c>
      <c r="C174" s="2">
        <f>C166-C155</f>
        <v>15</v>
      </c>
    </row>
    <row r="175" spans="1:8" x14ac:dyDescent="0.3">
      <c r="A175" s="225" t="s">
        <v>41</v>
      </c>
      <c r="B175" s="4" t="s">
        <v>39</v>
      </c>
      <c r="C175" s="1">
        <v>22</v>
      </c>
      <c r="D175" s="1">
        <f>QUARTILE($B$155:$B$166,1)</f>
        <v>22</v>
      </c>
    </row>
    <row r="176" spans="1:8" x14ac:dyDescent="0.3">
      <c r="A176" s="225"/>
      <c r="B176" s="4" t="s">
        <v>40</v>
      </c>
      <c r="C176" s="1">
        <v>32</v>
      </c>
      <c r="D176" s="1">
        <f>QUARTILE($B$155:$B$166,3)</f>
        <v>30</v>
      </c>
    </row>
    <row r="177" spans="1:8" ht="27.6" x14ac:dyDescent="0.3">
      <c r="A177" s="225"/>
      <c r="B177" s="1" t="s">
        <v>37</v>
      </c>
      <c r="C177" s="2">
        <f>C176-C175</f>
        <v>10</v>
      </c>
      <c r="D177" s="2">
        <f>D176-D175</f>
        <v>8</v>
      </c>
    </row>
    <row r="178" spans="1:8" ht="14.4" thickBot="1" x14ac:dyDescent="0.35"/>
    <row r="179" spans="1:8" ht="18" thickBot="1" x14ac:dyDescent="0.35">
      <c r="A179" s="221" t="s">
        <v>42</v>
      </c>
      <c r="B179" s="222"/>
      <c r="C179" s="222"/>
      <c r="D179" s="222"/>
      <c r="E179" s="222"/>
      <c r="F179" s="222"/>
      <c r="G179" s="222"/>
      <c r="H179" s="222"/>
    </row>
    <row r="180" spans="1:8" ht="55.2" x14ac:dyDescent="0.3">
      <c r="B180" s="1" t="s">
        <v>12</v>
      </c>
      <c r="C180" s="1" t="s">
        <v>6</v>
      </c>
      <c r="D180" s="226" t="s">
        <v>32</v>
      </c>
      <c r="E180" s="226"/>
      <c r="F180" s="226"/>
      <c r="G180" s="1" t="s">
        <v>33</v>
      </c>
    </row>
    <row r="181" spans="1:8" x14ac:dyDescent="0.3">
      <c r="A181" s="1">
        <v>1</v>
      </c>
      <c r="B181" s="1">
        <v>3.6</v>
      </c>
      <c r="C181" s="1">
        <v>3</v>
      </c>
      <c r="D181" s="225">
        <f>B181-$B$191</f>
        <v>0.11000000000000032</v>
      </c>
      <c r="E181" s="225"/>
      <c r="F181" s="225"/>
      <c r="G181" s="1">
        <f>D181*D181</f>
        <v>1.2100000000000071E-2</v>
      </c>
    </row>
    <row r="182" spans="1:8" x14ac:dyDescent="0.3">
      <c r="A182" s="1">
        <v>2</v>
      </c>
      <c r="B182" s="1">
        <v>3.1</v>
      </c>
      <c r="C182" s="1">
        <v>3.1</v>
      </c>
      <c r="D182" s="225">
        <f t="shared" ref="D182:D190" si="6">B182-$B$191</f>
        <v>-0.38999999999999968</v>
      </c>
      <c r="E182" s="225"/>
      <c r="F182" s="225"/>
      <c r="G182" s="1">
        <f t="shared" ref="G182:G190" si="7">D182*D182</f>
        <v>0.15209999999999976</v>
      </c>
    </row>
    <row r="183" spans="1:8" x14ac:dyDescent="0.3">
      <c r="A183" s="1">
        <v>3</v>
      </c>
      <c r="B183" s="1">
        <v>3.9</v>
      </c>
      <c r="C183" s="1">
        <v>3.4</v>
      </c>
      <c r="D183" s="225">
        <f t="shared" si="6"/>
        <v>0.41000000000000014</v>
      </c>
      <c r="E183" s="225"/>
      <c r="F183" s="225"/>
      <c r="G183" s="1">
        <f t="shared" si="7"/>
        <v>0.16810000000000011</v>
      </c>
    </row>
    <row r="184" spans="1:8" x14ac:dyDescent="0.3">
      <c r="A184" s="1">
        <v>4</v>
      </c>
      <c r="B184" s="1">
        <v>3.7</v>
      </c>
      <c r="C184" s="1">
        <v>3.4</v>
      </c>
      <c r="D184" s="225">
        <f t="shared" si="6"/>
        <v>0.21000000000000041</v>
      </c>
      <c r="E184" s="225"/>
      <c r="F184" s="225"/>
      <c r="G184" s="1">
        <f t="shared" si="7"/>
        <v>4.4100000000000174E-2</v>
      </c>
    </row>
    <row r="185" spans="1:8" x14ac:dyDescent="0.3">
      <c r="A185" s="1">
        <v>5</v>
      </c>
      <c r="B185" s="1">
        <v>3.5</v>
      </c>
      <c r="C185" s="1">
        <v>3.5</v>
      </c>
      <c r="D185" s="225">
        <f t="shared" si="6"/>
        <v>1.0000000000000231E-2</v>
      </c>
      <c r="E185" s="225"/>
      <c r="F185" s="225"/>
      <c r="G185" s="1">
        <f t="shared" si="7"/>
        <v>1.0000000000000461E-4</v>
      </c>
    </row>
    <row r="186" spans="1:8" x14ac:dyDescent="0.3">
      <c r="A186" s="1">
        <v>6</v>
      </c>
      <c r="B186" s="1">
        <v>3.7</v>
      </c>
      <c r="C186" s="1">
        <v>3.6</v>
      </c>
      <c r="D186" s="225">
        <f t="shared" si="6"/>
        <v>0.21000000000000041</v>
      </c>
      <c r="E186" s="225"/>
      <c r="F186" s="225"/>
      <c r="G186" s="1">
        <f t="shared" si="7"/>
        <v>4.4100000000000174E-2</v>
      </c>
    </row>
    <row r="187" spans="1:8" x14ac:dyDescent="0.3">
      <c r="A187" s="1">
        <v>7</v>
      </c>
      <c r="B187" s="1">
        <v>3.4</v>
      </c>
      <c r="C187" s="1">
        <v>3.6</v>
      </c>
      <c r="D187" s="225">
        <f t="shared" si="6"/>
        <v>-8.9999999999999858E-2</v>
      </c>
      <c r="E187" s="225"/>
      <c r="F187" s="225"/>
      <c r="G187" s="1">
        <f t="shared" si="7"/>
        <v>8.0999999999999753E-3</v>
      </c>
    </row>
    <row r="188" spans="1:8" x14ac:dyDescent="0.3">
      <c r="A188" s="1">
        <v>8</v>
      </c>
      <c r="B188" s="1">
        <v>3</v>
      </c>
      <c r="C188" s="1">
        <v>3.7</v>
      </c>
      <c r="D188" s="225">
        <f t="shared" si="6"/>
        <v>-0.48999999999999977</v>
      </c>
      <c r="E188" s="225"/>
      <c r="F188" s="225"/>
      <c r="G188" s="1">
        <f t="shared" si="7"/>
        <v>0.24009999999999979</v>
      </c>
    </row>
    <row r="189" spans="1:8" x14ac:dyDescent="0.3">
      <c r="A189" s="1">
        <v>9</v>
      </c>
      <c r="B189" s="1">
        <v>3.6</v>
      </c>
      <c r="C189" s="1">
        <v>3.7</v>
      </c>
      <c r="D189" s="225">
        <f t="shared" si="6"/>
        <v>0.11000000000000032</v>
      </c>
      <c r="E189" s="225"/>
      <c r="F189" s="225"/>
      <c r="G189" s="1">
        <f t="shared" si="7"/>
        <v>1.2100000000000071E-2</v>
      </c>
    </row>
    <row r="190" spans="1:8" x14ac:dyDescent="0.3">
      <c r="A190" s="1">
        <v>10</v>
      </c>
      <c r="B190" s="1">
        <v>3.4</v>
      </c>
      <c r="C190" s="1">
        <v>3.9</v>
      </c>
      <c r="D190" s="225">
        <f t="shared" si="6"/>
        <v>-8.9999999999999858E-2</v>
      </c>
      <c r="E190" s="225"/>
      <c r="F190" s="225"/>
      <c r="G190" s="1">
        <f t="shared" si="7"/>
        <v>8.0999999999999753E-3</v>
      </c>
    </row>
    <row r="191" spans="1:8" x14ac:dyDescent="0.3">
      <c r="A191" s="1" t="s">
        <v>3</v>
      </c>
      <c r="B191" s="4">
        <f>SUM(B181:B190)/10</f>
        <v>3.4899999999999998</v>
      </c>
    </row>
    <row r="192" spans="1:8" ht="27.6" x14ac:dyDescent="0.3">
      <c r="A192" s="1" t="s">
        <v>43</v>
      </c>
      <c r="G192" s="2">
        <f>SUM(G181:G190)/9</f>
        <v>7.6555555555555571E-2</v>
      </c>
    </row>
    <row r="193" spans="1:8" ht="27.6" x14ac:dyDescent="0.3">
      <c r="A193" s="1" t="s">
        <v>43</v>
      </c>
      <c r="B193" s="2">
        <f>VAR(B181:B190)</f>
        <v>7.6555555555555571E-2</v>
      </c>
    </row>
    <row r="194" spans="1:8" ht="41.4" x14ac:dyDescent="0.3">
      <c r="A194" s="1" t="s">
        <v>44</v>
      </c>
      <c r="G194" s="2">
        <f>SQRT(G192)</f>
        <v>0.27668674625929512</v>
      </c>
    </row>
    <row r="195" spans="1:8" ht="41.4" x14ac:dyDescent="0.3">
      <c r="A195" s="1" t="s">
        <v>44</v>
      </c>
      <c r="B195" s="2">
        <f>STDEV(B181:B190)</f>
        <v>0.27668674625929512</v>
      </c>
    </row>
    <row r="196" spans="1:8" x14ac:dyDescent="0.3">
      <c r="A196" s="225" t="s">
        <v>41</v>
      </c>
      <c r="B196" s="4" t="s">
        <v>39</v>
      </c>
      <c r="C196" s="1">
        <f>C182+(C183-C182)*0.75</f>
        <v>3.3250000000000002</v>
      </c>
      <c r="D196" s="1">
        <f>QUARTILE($B$181:$B$190,1)</f>
        <v>3.4</v>
      </c>
    </row>
    <row r="197" spans="1:8" x14ac:dyDescent="0.3">
      <c r="A197" s="225"/>
      <c r="B197" s="4" t="s">
        <v>40</v>
      </c>
      <c r="C197" s="1">
        <v>3.7</v>
      </c>
      <c r="D197" s="1">
        <f>QUARTILE($B$181:$B$190,3)</f>
        <v>3.6750000000000003</v>
      </c>
    </row>
    <row r="198" spans="1:8" ht="27.6" x14ac:dyDescent="0.3">
      <c r="A198" s="225"/>
      <c r="B198" s="1" t="s">
        <v>37</v>
      </c>
      <c r="C198" s="2">
        <f>C197-C196</f>
        <v>0.375</v>
      </c>
      <c r="D198" s="2">
        <f>D197-D196</f>
        <v>0.27500000000000036</v>
      </c>
    </row>
    <row r="199" spans="1:8" ht="14.4" thickBot="1" x14ac:dyDescent="0.35"/>
    <row r="200" spans="1:8" ht="18" thickBot="1" x14ac:dyDescent="0.35">
      <c r="A200" s="221" t="s">
        <v>45</v>
      </c>
      <c r="B200" s="222"/>
      <c r="C200" s="222"/>
      <c r="D200" s="222"/>
      <c r="E200" s="222"/>
      <c r="F200" s="222"/>
      <c r="G200" s="222"/>
      <c r="H200" s="222"/>
    </row>
    <row r="201" spans="1:8" ht="55.2" x14ac:dyDescent="0.3">
      <c r="A201" s="1" t="s">
        <v>13</v>
      </c>
      <c r="B201" s="1" t="s">
        <v>14</v>
      </c>
      <c r="C201" s="1" t="s">
        <v>6</v>
      </c>
      <c r="D201" s="226" t="s">
        <v>32</v>
      </c>
      <c r="E201" s="226"/>
      <c r="F201" s="226"/>
      <c r="G201" s="1" t="s">
        <v>33</v>
      </c>
    </row>
    <row r="202" spans="1:8" x14ac:dyDescent="0.3">
      <c r="A202" s="1">
        <v>1</v>
      </c>
      <c r="B202" s="1">
        <v>2</v>
      </c>
      <c r="C202" s="1">
        <v>2</v>
      </c>
      <c r="D202" s="225">
        <f>B202-$B$210</f>
        <v>-1.125</v>
      </c>
      <c r="E202" s="225"/>
      <c r="F202" s="225"/>
      <c r="G202" s="1">
        <f>D202*D202</f>
        <v>1.265625</v>
      </c>
    </row>
    <row r="203" spans="1:8" x14ac:dyDescent="0.3">
      <c r="A203" s="1">
        <v>2</v>
      </c>
      <c r="B203" s="1">
        <v>4</v>
      </c>
      <c r="C203" s="1">
        <v>2</v>
      </c>
      <c r="D203" s="225">
        <f t="shared" ref="D203:D209" si="8">B203-$B$210</f>
        <v>0.875</v>
      </c>
      <c r="E203" s="225"/>
      <c r="F203" s="225"/>
      <c r="G203" s="1">
        <f t="shared" ref="G203:G209" si="9">D203*D203</f>
        <v>0.765625</v>
      </c>
    </row>
    <row r="204" spans="1:8" x14ac:dyDescent="0.3">
      <c r="A204" s="1">
        <v>3</v>
      </c>
      <c r="B204" s="1">
        <v>2</v>
      </c>
      <c r="C204" s="1">
        <v>2</v>
      </c>
      <c r="D204" s="225">
        <f t="shared" si="8"/>
        <v>-1.125</v>
      </c>
      <c r="E204" s="225"/>
      <c r="F204" s="225"/>
      <c r="G204" s="1">
        <f t="shared" si="9"/>
        <v>1.265625</v>
      </c>
    </row>
    <row r="205" spans="1:8" x14ac:dyDescent="0.3">
      <c r="A205" s="1">
        <v>4</v>
      </c>
      <c r="B205" s="1">
        <v>3</v>
      </c>
      <c r="C205" s="1">
        <v>3</v>
      </c>
      <c r="D205" s="225">
        <f t="shared" si="8"/>
        <v>-0.125</v>
      </c>
      <c r="E205" s="225"/>
      <c r="F205" s="225"/>
      <c r="G205" s="1">
        <f t="shared" si="9"/>
        <v>1.5625E-2</v>
      </c>
    </row>
    <row r="206" spans="1:8" x14ac:dyDescent="0.3">
      <c r="A206" s="1">
        <v>5</v>
      </c>
      <c r="B206" s="1">
        <v>5</v>
      </c>
      <c r="C206" s="1">
        <v>3</v>
      </c>
      <c r="D206" s="225">
        <f t="shared" si="8"/>
        <v>1.875</v>
      </c>
      <c r="E206" s="225"/>
      <c r="F206" s="225"/>
      <c r="G206" s="1">
        <f t="shared" si="9"/>
        <v>3.515625</v>
      </c>
    </row>
    <row r="207" spans="1:8" x14ac:dyDescent="0.3">
      <c r="A207" s="1">
        <v>6</v>
      </c>
      <c r="B207" s="1">
        <v>4</v>
      </c>
      <c r="C207" s="1">
        <v>4</v>
      </c>
      <c r="D207" s="225">
        <f t="shared" si="8"/>
        <v>0.875</v>
      </c>
      <c r="E207" s="225"/>
      <c r="F207" s="225"/>
      <c r="G207" s="1">
        <f t="shared" si="9"/>
        <v>0.765625</v>
      </c>
    </row>
    <row r="208" spans="1:8" x14ac:dyDescent="0.3">
      <c r="A208" s="1">
        <v>7</v>
      </c>
      <c r="B208" s="1">
        <v>3</v>
      </c>
      <c r="C208" s="1">
        <v>4</v>
      </c>
      <c r="D208" s="225">
        <f t="shared" si="8"/>
        <v>-0.125</v>
      </c>
      <c r="E208" s="225"/>
      <c r="F208" s="225"/>
      <c r="G208" s="1">
        <f t="shared" si="9"/>
        <v>1.5625E-2</v>
      </c>
    </row>
    <row r="209" spans="1:8" x14ac:dyDescent="0.3">
      <c r="A209" s="1">
        <v>8</v>
      </c>
      <c r="B209" s="1">
        <v>2</v>
      </c>
      <c r="C209" s="1">
        <v>5</v>
      </c>
      <c r="D209" s="225">
        <f t="shared" si="8"/>
        <v>-1.125</v>
      </c>
      <c r="E209" s="225"/>
      <c r="F209" s="225"/>
      <c r="G209" s="1">
        <f t="shared" si="9"/>
        <v>1.265625</v>
      </c>
    </row>
    <row r="210" spans="1:8" x14ac:dyDescent="0.3">
      <c r="A210" s="1" t="s">
        <v>3</v>
      </c>
      <c r="B210" s="4">
        <f>SUM(B202:B209)/8</f>
        <v>3.125</v>
      </c>
    </row>
    <row r="211" spans="1:8" ht="27.6" x14ac:dyDescent="0.3">
      <c r="A211" s="1" t="s">
        <v>43</v>
      </c>
      <c r="G211" s="2">
        <f>SUM(G202:G209)/7</f>
        <v>1.2678571428571428</v>
      </c>
    </row>
    <row r="212" spans="1:8" ht="27.6" x14ac:dyDescent="0.3">
      <c r="A212" s="1" t="s">
        <v>43</v>
      </c>
      <c r="B212" s="2">
        <f>VAR(B202:B209)</f>
        <v>1.2678571428571428</v>
      </c>
    </row>
    <row r="213" spans="1:8" ht="41.4" x14ac:dyDescent="0.3">
      <c r="A213" s="1" t="s">
        <v>44</v>
      </c>
      <c r="G213" s="2">
        <f>SQRT(G211)</f>
        <v>1.1259916264596033</v>
      </c>
    </row>
    <row r="214" spans="1:8" ht="41.4" x14ac:dyDescent="0.3">
      <c r="A214" s="1" t="s">
        <v>44</v>
      </c>
      <c r="B214" s="2">
        <f>STDEV(B202:B209)</f>
        <v>1.1259916264596033</v>
      </c>
    </row>
    <row r="215" spans="1:8" x14ac:dyDescent="0.3">
      <c r="A215" s="225" t="s">
        <v>41</v>
      </c>
      <c r="B215" s="4" t="s">
        <v>39</v>
      </c>
      <c r="C215" s="1">
        <v>2</v>
      </c>
      <c r="D215" s="1">
        <f>QUARTILE($B$202:$B$209,1)</f>
        <v>2</v>
      </c>
    </row>
    <row r="216" spans="1:8" x14ac:dyDescent="0.3">
      <c r="A216" s="225"/>
      <c r="B216" s="4" t="s">
        <v>40</v>
      </c>
      <c r="C216" s="1">
        <v>4</v>
      </c>
      <c r="D216" s="1">
        <f>QUARTILE($B$202:$B$209,3)</f>
        <v>4</v>
      </c>
    </row>
    <row r="217" spans="1:8" ht="27.6" x14ac:dyDescent="0.3">
      <c r="A217" s="225"/>
      <c r="B217" s="1" t="s">
        <v>37</v>
      </c>
      <c r="C217" s="2">
        <f>C216-C215</f>
        <v>2</v>
      </c>
      <c r="D217" s="2">
        <f>D216-D215</f>
        <v>2</v>
      </c>
    </row>
    <row r="218" spans="1:8" ht="14.4" thickBot="1" x14ac:dyDescent="0.35"/>
    <row r="219" spans="1:8" ht="18" thickBot="1" x14ac:dyDescent="0.35">
      <c r="A219" s="221" t="s">
        <v>46</v>
      </c>
      <c r="B219" s="222"/>
      <c r="C219" s="222"/>
      <c r="D219" s="222"/>
      <c r="E219" s="222"/>
      <c r="F219" s="222"/>
      <c r="G219" s="222"/>
      <c r="H219" s="222"/>
    </row>
    <row r="220" spans="1:8" ht="27.6" x14ac:dyDescent="0.3">
      <c r="A220" s="1" t="s">
        <v>17</v>
      </c>
      <c r="B220" s="1" t="s">
        <v>18</v>
      </c>
      <c r="C220" s="1" t="s">
        <v>6</v>
      </c>
      <c r="D220" s="226" t="s">
        <v>32</v>
      </c>
      <c r="E220" s="226"/>
      <c r="F220" s="226"/>
      <c r="G220" s="1" t="s">
        <v>33</v>
      </c>
      <c r="H220" s="1" t="s">
        <v>38</v>
      </c>
    </row>
    <row r="221" spans="1:8" x14ac:dyDescent="0.3">
      <c r="A221" s="1">
        <v>1</v>
      </c>
      <c r="B221" s="1">
        <v>42</v>
      </c>
      <c r="C221" s="1">
        <v>21</v>
      </c>
      <c r="D221" s="225">
        <f>B221-$B$231</f>
        <v>6.7999999999999972</v>
      </c>
      <c r="E221" s="225"/>
      <c r="F221" s="225"/>
      <c r="G221" s="1">
        <f>D221*D221</f>
        <v>46.239999999999959</v>
      </c>
      <c r="H221" s="1">
        <f>ABS(D221)</f>
        <v>6.7999999999999972</v>
      </c>
    </row>
    <row r="222" spans="1:8" x14ac:dyDescent="0.3">
      <c r="A222" s="1">
        <v>2</v>
      </c>
      <c r="B222" s="1">
        <v>29</v>
      </c>
      <c r="C222" s="1">
        <v>26</v>
      </c>
      <c r="D222" s="225">
        <f t="shared" ref="D222:D230" si="10">B222-$B$231</f>
        <v>-6.2000000000000028</v>
      </c>
      <c r="E222" s="225"/>
      <c r="F222" s="225"/>
      <c r="G222" s="1">
        <f t="shared" ref="G222:G230" si="11">D222*D222</f>
        <v>38.440000000000033</v>
      </c>
      <c r="H222" s="1">
        <f t="shared" ref="H222:H230" si="12">ABS(D222)</f>
        <v>6.2000000000000028</v>
      </c>
    </row>
    <row r="223" spans="1:8" x14ac:dyDescent="0.3">
      <c r="A223" s="1">
        <v>3</v>
      </c>
      <c r="B223" s="1">
        <v>21</v>
      </c>
      <c r="C223" s="1">
        <v>29</v>
      </c>
      <c r="D223" s="225">
        <f t="shared" si="10"/>
        <v>-14.200000000000003</v>
      </c>
      <c r="E223" s="225"/>
      <c r="F223" s="225"/>
      <c r="G223" s="1">
        <f t="shared" si="11"/>
        <v>201.64000000000007</v>
      </c>
      <c r="H223" s="1">
        <f t="shared" si="12"/>
        <v>14.200000000000003</v>
      </c>
    </row>
    <row r="224" spans="1:8" x14ac:dyDescent="0.3">
      <c r="A224" s="1">
        <v>4</v>
      </c>
      <c r="B224" s="1">
        <v>37</v>
      </c>
      <c r="C224" s="1">
        <v>33</v>
      </c>
      <c r="D224" s="225">
        <f t="shared" si="10"/>
        <v>1.7999999999999972</v>
      </c>
      <c r="E224" s="225"/>
      <c r="F224" s="225"/>
      <c r="G224" s="1">
        <f t="shared" si="11"/>
        <v>3.2399999999999896</v>
      </c>
      <c r="H224" s="1">
        <f t="shared" si="12"/>
        <v>1.7999999999999972</v>
      </c>
    </row>
    <row r="225" spans="1:8" x14ac:dyDescent="0.3">
      <c r="A225" s="1">
        <v>5</v>
      </c>
      <c r="B225" s="1">
        <v>40</v>
      </c>
      <c r="C225" s="1">
        <v>37</v>
      </c>
      <c r="D225" s="225">
        <f t="shared" si="10"/>
        <v>4.7999999999999972</v>
      </c>
      <c r="E225" s="225"/>
      <c r="F225" s="225"/>
      <c r="G225" s="1">
        <f t="shared" si="11"/>
        <v>23.039999999999974</v>
      </c>
      <c r="H225" s="1">
        <f t="shared" si="12"/>
        <v>4.7999999999999972</v>
      </c>
    </row>
    <row r="226" spans="1:8" x14ac:dyDescent="0.3">
      <c r="A226" s="1">
        <v>6</v>
      </c>
      <c r="B226" s="1">
        <v>33</v>
      </c>
      <c r="C226" s="1">
        <v>38</v>
      </c>
      <c r="D226" s="225">
        <f t="shared" si="10"/>
        <v>-2.2000000000000028</v>
      </c>
      <c r="E226" s="225"/>
      <c r="F226" s="225"/>
      <c r="G226" s="1">
        <f t="shared" si="11"/>
        <v>4.8400000000000123</v>
      </c>
      <c r="H226" s="1">
        <f t="shared" si="12"/>
        <v>2.2000000000000028</v>
      </c>
    </row>
    <row r="227" spans="1:8" x14ac:dyDescent="0.3">
      <c r="A227" s="1">
        <v>7</v>
      </c>
      <c r="B227" s="1">
        <v>38</v>
      </c>
      <c r="C227" s="1">
        <v>39</v>
      </c>
      <c r="D227" s="225">
        <f t="shared" si="10"/>
        <v>2.7999999999999972</v>
      </c>
      <c r="E227" s="225"/>
      <c r="F227" s="225"/>
      <c r="G227" s="1">
        <f t="shared" si="11"/>
        <v>7.8399999999999839</v>
      </c>
      <c r="H227" s="1">
        <f t="shared" si="12"/>
        <v>2.7999999999999972</v>
      </c>
    </row>
    <row r="228" spans="1:8" x14ac:dyDescent="0.3">
      <c r="A228" s="1">
        <v>8</v>
      </c>
      <c r="B228" s="1">
        <v>26</v>
      </c>
      <c r="C228" s="1">
        <v>40</v>
      </c>
      <c r="D228" s="225">
        <f t="shared" si="10"/>
        <v>-9.2000000000000028</v>
      </c>
      <c r="E228" s="225"/>
      <c r="F228" s="225"/>
      <c r="G228" s="1">
        <f t="shared" si="11"/>
        <v>84.640000000000057</v>
      </c>
      <c r="H228" s="1">
        <f t="shared" si="12"/>
        <v>9.2000000000000028</v>
      </c>
    </row>
    <row r="229" spans="1:8" x14ac:dyDescent="0.3">
      <c r="A229" s="1">
        <v>9</v>
      </c>
      <c r="B229" s="1">
        <v>39</v>
      </c>
      <c r="C229" s="1">
        <v>42</v>
      </c>
      <c r="D229" s="225">
        <f t="shared" si="10"/>
        <v>3.7999999999999972</v>
      </c>
      <c r="E229" s="225"/>
      <c r="F229" s="225"/>
      <c r="G229" s="1">
        <f t="shared" si="11"/>
        <v>14.439999999999978</v>
      </c>
      <c r="H229" s="1">
        <f t="shared" si="12"/>
        <v>3.7999999999999972</v>
      </c>
    </row>
    <row r="230" spans="1:8" x14ac:dyDescent="0.3">
      <c r="A230" s="1">
        <v>10</v>
      </c>
      <c r="B230" s="1">
        <v>47</v>
      </c>
      <c r="C230" s="1">
        <v>47</v>
      </c>
      <c r="D230" s="225">
        <f t="shared" si="10"/>
        <v>11.799999999999997</v>
      </c>
      <c r="E230" s="225"/>
      <c r="F230" s="225"/>
      <c r="G230" s="1">
        <f t="shared" si="11"/>
        <v>139.23999999999992</v>
      </c>
      <c r="H230" s="1">
        <f t="shared" si="12"/>
        <v>11.799999999999997</v>
      </c>
    </row>
    <row r="231" spans="1:8" x14ac:dyDescent="0.3">
      <c r="A231" s="1" t="s">
        <v>3</v>
      </c>
      <c r="B231" s="4">
        <f>SUM(B221:B230)/10</f>
        <v>35.200000000000003</v>
      </c>
    </row>
    <row r="232" spans="1:8" ht="27.6" x14ac:dyDescent="0.3">
      <c r="A232" s="1" t="s">
        <v>43</v>
      </c>
      <c r="G232" s="193">
        <f>SUM(G221:G230)/9</f>
        <v>62.622222222222227</v>
      </c>
    </row>
    <row r="233" spans="1:8" ht="27.6" x14ac:dyDescent="0.3">
      <c r="A233" s="1" t="s">
        <v>43</v>
      </c>
      <c r="B233" s="193">
        <f>VAR(B221:B230)</f>
        <v>62.622222222222263</v>
      </c>
    </row>
    <row r="234" spans="1:8" ht="41.4" x14ac:dyDescent="0.3">
      <c r="A234" s="1" t="s">
        <v>44</v>
      </c>
      <c r="G234" s="193">
        <f>SQRT(G232)</f>
        <v>7.9134203870527582</v>
      </c>
    </row>
    <row r="235" spans="1:8" ht="41.4" x14ac:dyDescent="0.3">
      <c r="A235" s="1" t="s">
        <v>44</v>
      </c>
      <c r="B235" s="193">
        <f>STDEV(B221:B230)</f>
        <v>7.9134203870527609</v>
      </c>
    </row>
    <row r="236" spans="1:8" ht="41.4" x14ac:dyDescent="0.3">
      <c r="A236" s="1" t="s">
        <v>35</v>
      </c>
      <c r="H236" s="193">
        <f>SUM(H221:H230)/10</f>
        <v>6.3599999999999994</v>
      </c>
    </row>
    <row r="237" spans="1:8" ht="41.4" x14ac:dyDescent="0.3">
      <c r="A237" s="1" t="s">
        <v>35</v>
      </c>
      <c r="B237" s="193">
        <f>AVEDEV(B221:B230)</f>
        <v>6.3599999999999994</v>
      </c>
    </row>
    <row r="238" spans="1:8" x14ac:dyDescent="0.3">
      <c r="A238" s="225" t="s">
        <v>41</v>
      </c>
      <c r="B238" s="4" t="s">
        <v>39</v>
      </c>
      <c r="C238" s="1">
        <v>28.25</v>
      </c>
      <c r="D238" s="1">
        <f>QUARTILE($B$221:$B$230,1)</f>
        <v>30</v>
      </c>
    </row>
    <row r="239" spans="1:8" x14ac:dyDescent="0.3">
      <c r="A239" s="225"/>
      <c r="B239" s="4" t="s">
        <v>40</v>
      </c>
      <c r="C239" s="1">
        <v>40.5</v>
      </c>
      <c r="D239" s="1">
        <f>QUARTILE($B$221:$B$230,3)</f>
        <v>39.75</v>
      </c>
    </row>
    <row r="240" spans="1:8" ht="27.6" x14ac:dyDescent="0.3">
      <c r="A240" s="225"/>
      <c r="B240" s="1" t="s">
        <v>37</v>
      </c>
      <c r="C240" s="193">
        <f>C239-C238</f>
        <v>12.25</v>
      </c>
      <c r="D240" s="193">
        <f>D239-D238</f>
        <v>9.75</v>
      </c>
    </row>
    <row r="241" spans="1:8" ht="14.4" thickBot="1" x14ac:dyDescent="0.35"/>
    <row r="242" spans="1:8" ht="18" thickBot="1" x14ac:dyDescent="0.35">
      <c r="A242" s="221" t="s">
        <v>47</v>
      </c>
      <c r="B242" s="222"/>
      <c r="C242" s="222"/>
      <c r="D242" s="222"/>
      <c r="E242" s="222"/>
      <c r="F242" s="222"/>
      <c r="G242" s="222"/>
      <c r="H242" s="222"/>
    </row>
    <row r="243" spans="1:8" ht="27.6" x14ac:dyDescent="0.3">
      <c r="A243" s="1" t="s">
        <v>20</v>
      </c>
      <c r="B243" s="1" t="s">
        <v>21</v>
      </c>
      <c r="C243" s="1" t="s">
        <v>6</v>
      </c>
      <c r="D243" s="226" t="s">
        <v>32</v>
      </c>
      <c r="E243" s="226"/>
      <c r="F243" s="226"/>
      <c r="G243" s="1" t="s">
        <v>33</v>
      </c>
    </row>
    <row r="244" spans="1:8" x14ac:dyDescent="0.3">
      <c r="A244" s="1">
        <v>1</v>
      </c>
      <c r="B244" s="1">
        <v>10.199999999999999</v>
      </c>
      <c r="C244" s="1">
        <v>2.9</v>
      </c>
      <c r="D244" s="225">
        <f>B244-$B$254</f>
        <v>4.26</v>
      </c>
      <c r="E244" s="225"/>
      <c r="F244" s="225"/>
      <c r="G244" s="1">
        <f>D244*D244</f>
        <v>18.147599999999997</v>
      </c>
    </row>
    <row r="245" spans="1:8" x14ac:dyDescent="0.3">
      <c r="A245" s="1">
        <v>2</v>
      </c>
      <c r="B245" s="1">
        <v>3.1</v>
      </c>
      <c r="C245" s="1">
        <v>3.1</v>
      </c>
      <c r="D245" s="225">
        <f t="shared" ref="D245:D253" si="13">B245-$B$254</f>
        <v>-2.8399999999999994</v>
      </c>
      <c r="E245" s="225"/>
      <c r="F245" s="225"/>
      <c r="G245" s="1">
        <f t="shared" ref="G245:G253" si="14">D245*D245</f>
        <v>8.0655999999999963</v>
      </c>
    </row>
    <row r="246" spans="1:8" x14ac:dyDescent="0.3">
      <c r="A246" s="1">
        <v>3</v>
      </c>
      <c r="B246" s="1">
        <v>5.9</v>
      </c>
      <c r="C246" s="1">
        <v>3.7</v>
      </c>
      <c r="D246" s="225">
        <f t="shared" si="13"/>
        <v>-3.9999999999999147E-2</v>
      </c>
      <c r="E246" s="225"/>
      <c r="F246" s="225"/>
      <c r="G246" s="1">
        <f t="shared" si="14"/>
        <v>1.5999999999999318E-3</v>
      </c>
    </row>
    <row r="247" spans="1:8" x14ac:dyDescent="0.3">
      <c r="A247" s="1">
        <v>4</v>
      </c>
      <c r="B247" s="1">
        <v>7</v>
      </c>
      <c r="C247" s="1">
        <v>4.3</v>
      </c>
      <c r="D247" s="225">
        <f t="shared" si="13"/>
        <v>1.0600000000000005</v>
      </c>
      <c r="E247" s="225"/>
      <c r="F247" s="225"/>
      <c r="G247" s="1">
        <f t="shared" si="14"/>
        <v>1.123600000000001</v>
      </c>
    </row>
    <row r="248" spans="1:8" x14ac:dyDescent="0.3">
      <c r="A248" s="1">
        <v>5</v>
      </c>
      <c r="B248" s="1">
        <v>3.7</v>
      </c>
      <c r="C248" s="1">
        <v>5.9</v>
      </c>
      <c r="D248" s="225">
        <f t="shared" si="13"/>
        <v>-2.2399999999999993</v>
      </c>
      <c r="E248" s="225"/>
      <c r="F248" s="225"/>
      <c r="G248" s="1">
        <f t="shared" si="14"/>
        <v>5.0175999999999972</v>
      </c>
    </row>
    <row r="249" spans="1:8" x14ac:dyDescent="0.3">
      <c r="A249" s="1">
        <v>6</v>
      </c>
      <c r="B249" s="1">
        <v>2.9</v>
      </c>
      <c r="C249" s="1">
        <v>6.8</v>
      </c>
      <c r="D249" s="225">
        <f t="shared" si="13"/>
        <v>-3.0399999999999996</v>
      </c>
      <c r="E249" s="225"/>
      <c r="F249" s="225"/>
      <c r="G249" s="1">
        <f t="shared" si="14"/>
        <v>9.2415999999999983</v>
      </c>
    </row>
    <row r="250" spans="1:8" x14ac:dyDescent="0.3">
      <c r="A250" s="1">
        <v>7</v>
      </c>
      <c r="B250" s="1">
        <v>6.8</v>
      </c>
      <c r="C250" s="1">
        <v>7</v>
      </c>
      <c r="D250" s="225">
        <f t="shared" si="13"/>
        <v>0.86000000000000032</v>
      </c>
      <c r="E250" s="225"/>
      <c r="F250" s="225"/>
      <c r="G250" s="1">
        <f t="shared" si="14"/>
        <v>0.73960000000000059</v>
      </c>
    </row>
    <row r="251" spans="1:8" x14ac:dyDescent="0.3">
      <c r="A251" s="1">
        <v>8</v>
      </c>
      <c r="B251" s="1">
        <v>7.3</v>
      </c>
      <c r="C251" s="1">
        <v>7.3</v>
      </c>
      <c r="D251" s="225">
        <f t="shared" si="13"/>
        <v>1.3600000000000003</v>
      </c>
      <c r="E251" s="225"/>
      <c r="F251" s="225"/>
      <c r="G251" s="1">
        <f t="shared" si="14"/>
        <v>1.8496000000000008</v>
      </c>
    </row>
    <row r="252" spans="1:8" x14ac:dyDescent="0.3">
      <c r="A252" s="1">
        <v>9</v>
      </c>
      <c r="B252" s="1">
        <v>8.1999999999999993</v>
      </c>
      <c r="C252" s="1">
        <v>8.1999999999999993</v>
      </c>
      <c r="D252" s="225">
        <f t="shared" si="13"/>
        <v>2.2599999999999998</v>
      </c>
      <c r="E252" s="225"/>
      <c r="F252" s="225"/>
      <c r="G252" s="1">
        <f t="shared" si="14"/>
        <v>5.1075999999999988</v>
      </c>
    </row>
    <row r="253" spans="1:8" x14ac:dyDescent="0.3">
      <c r="A253" s="1">
        <v>10</v>
      </c>
      <c r="B253" s="1">
        <v>4.3</v>
      </c>
      <c r="C253" s="1">
        <v>10.199999999999999</v>
      </c>
      <c r="D253" s="225">
        <f t="shared" si="13"/>
        <v>-1.6399999999999997</v>
      </c>
      <c r="E253" s="225"/>
      <c r="F253" s="225"/>
      <c r="G253" s="1">
        <f t="shared" si="14"/>
        <v>2.6895999999999991</v>
      </c>
    </row>
    <row r="254" spans="1:8" x14ac:dyDescent="0.3">
      <c r="A254" s="1" t="s">
        <v>3</v>
      </c>
      <c r="B254" s="4">
        <f>SUM(B244:B253)/10</f>
        <v>5.9399999999999995</v>
      </c>
    </row>
    <row r="255" spans="1:8" ht="27.6" x14ac:dyDescent="0.3">
      <c r="A255" s="1" t="s">
        <v>30</v>
      </c>
      <c r="G255" s="193">
        <f>SUM(G244:G253)/10</f>
        <v>5.1983999999999986</v>
      </c>
    </row>
    <row r="256" spans="1:8" ht="27.6" x14ac:dyDescent="0.3">
      <c r="A256" s="1" t="s">
        <v>30</v>
      </c>
      <c r="B256" s="193">
        <f>VARP(B244:B253)</f>
        <v>5.1984000000000101</v>
      </c>
    </row>
    <row r="257" spans="1:8" ht="41.4" x14ac:dyDescent="0.3">
      <c r="A257" s="1" t="s">
        <v>31</v>
      </c>
      <c r="G257" s="193">
        <f>SQRT(G255)</f>
        <v>2.2799999999999998</v>
      </c>
    </row>
    <row r="258" spans="1:8" ht="41.4" x14ac:dyDescent="0.3">
      <c r="A258" s="1" t="s">
        <v>31</v>
      </c>
      <c r="B258" s="193">
        <f>STDEVP(B244:B253)</f>
        <v>2.280000000000002</v>
      </c>
    </row>
    <row r="259" spans="1:8" x14ac:dyDescent="0.3">
      <c r="A259" s="1" t="s">
        <v>36</v>
      </c>
      <c r="C259" s="193">
        <f>C253-C244</f>
        <v>7.2999999999999989</v>
      </c>
    </row>
    <row r="260" spans="1:8" x14ac:dyDescent="0.3">
      <c r="A260" s="225" t="s">
        <v>41</v>
      </c>
      <c r="B260" s="4" t="s">
        <v>39</v>
      </c>
      <c r="C260" s="1">
        <f>C245+(C246-C245)*0.75</f>
        <v>3.5500000000000003</v>
      </c>
      <c r="D260" s="1">
        <f>QUARTILE($B$244:$B$253,1)</f>
        <v>3.85</v>
      </c>
    </row>
    <row r="261" spans="1:8" x14ac:dyDescent="0.3">
      <c r="A261" s="225"/>
      <c r="B261" s="4" t="s">
        <v>40</v>
      </c>
      <c r="C261" s="1">
        <f>C251+(C252-C251)*0.25</f>
        <v>7.5249999999999995</v>
      </c>
      <c r="D261" s="1">
        <f>QUARTILE($B$244:$B$253,3)</f>
        <v>7.2249999999999996</v>
      </c>
    </row>
    <row r="262" spans="1:8" ht="27.6" x14ac:dyDescent="0.3">
      <c r="A262" s="225"/>
      <c r="B262" s="1" t="s">
        <v>37</v>
      </c>
      <c r="C262" s="193">
        <f>C261-C260</f>
        <v>3.9749999999999992</v>
      </c>
      <c r="D262" s="193">
        <f>D261-D260</f>
        <v>3.3749999999999996</v>
      </c>
    </row>
    <row r="263" spans="1:8" ht="14.4" thickBot="1" x14ac:dyDescent="0.35"/>
    <row r="264" spans="1:8" ht="18" thickBot="1" x14ac:dyDescent="0.35">
      <c r="A264" s="221" t="s">
        <v>48</v>
      </c>
      <c r="B264" s="222"/>
      <c r="C264" s="222"/>
      <c r="D264" s="222"/>
      <c r="E264" s="222"/>
      <c r="F264" s="222"/>
      <c r="G264" s="222"/>
      <c r="H264" s="222"/>
    </row>
    <row r="265" spans="1:8" ht="41.4" x14ac:dyDescent="0.3">
      <c r="A265" s="1" t="s">
        <v>23</v>
      </c>
      <c r="B265" s="1" t="s">
        <v>24</v>
      </c>
      <c r="C265" s="1" t="s">
        <v>6</v>
      </c>
      <c r="D265" s="226" t="s">
        <v>32</v>
      </c>
      <c r="E265" s="226"/>
      <c r="F265" s="226"/>
      <c r="G265" s="1" t="s">
        <v>33</v>
      </c>
    </row>
    <row r="266" spans="1:8" x14ac:dyDescent="0.3">
      <c r="A266" s="1">
        <v>1</v>
      </c>
      <c r="B266" s="1">
        <v>15.8</v>
      </c>
      <c r="C266" s="1">
        <v>7.3</v>
      </c>
      <c r="D266" s="225">
        <f>B266-$B$278</f>
        <v>-4.1083333333333343</v>
      </c>
      <c r="E266" s="225"/>
      <c r="F266" s="225"/>
      <c r="G266" s="1">
        <f>D266*D266</f>
        <v>16.878402777777787</v>
      </c>
    </row>
    <row r="267" spans="1:8" x14ac:dyDescent="0.3">
      <c r="A267" s="1">
        <v>2</v>
      </c>
      <c r="B267" s="1">
        <v>7.3</v>
      </c>
      <c r="C267" s="1">
        <v>10.199999999999999</v>
      </c>
      <c r="D267" s="225">
        <f t="shared" ref="D267:D277" si="15">B267-$B$278</f>
        <v>-12.608333333333334</v>
      </c>
      <c r="E267" s="225"/>
      <c r="F267" s="225"/>
      <c r="G267" s="1">
        <f t="shared" ref="G267:G277" si="16">D267*D267</f>
        <v>158.97006944444448</v>
      </c>
    </row>
    <row r="268" spans="1:8" x14ac:dyDescent="0.3">
      <c r="A268" s="1">
        <v>3</v>
      </c>
      <c r="B268" s="1">
        <v>28.4</v>
      </c>
      <c r="C268" s="1">
        <v>13.1</v>
      </c>
      <c r="D268" s="225">
        <f t="shared" si="15"/>
        <v>8.4916666666666636</v>
      </c>
      <c r="E268" s="225"/>
      <c r="F268" s="225"/>
      <c r="G268" s="1">
        <f t="shared" si="16"/>
        <v>72.108402777777727</v>
      </c>
    </row>
    <row r="269" spans="1:8" x14ac:dyDescent="0.3">
      <c r="A269" s="1">
        <v>4</v>
      </c>
      <c r="B269" s="1">
        <v>18.2</v>
      </c>
      <c r="C269" s="1">
        <v>15</v>
      </c>
      <c r="D269" s="225">
        <f t="shared" si="15"/>
        <v>-1.7083333333333357</v>
      </c>
      <c r="E269" s="225"/>
      <c r="F269" s="225"/>
      <c r="G269" s="1">
        <f t="shared" si="16"/>
        <v>2.9184027777777857</v>
      </c>
    </row>
    <row r="270" spans="1:8" x14ac:dyDescent="0.3">
      <c r="A270" s="1">
        <v>5</v>
      </c>
      <c r="B270" s="1">
        <v>15</v>
      </c>
      <c r="C270" s="1">
        <v>15.8</v>
      </c>
      <c r="D270" s="225">
        <f t="shared" si="15"/>
        <v>-4.908333333333335</v>
      </c>
      <c r="E270" s="225"/>
      <c r="F270" s="225"/>
      <c r="G270" s="1">
        <f t="shared" si="16"/>
        <v>24.091736111111128</v>
      </c>
    </row>
    <row r="271" spans="1:8" x14ac:dyDescent="0.3">
      <c r="A271" s="1">
        <v>6</v>
      </c>
      <c r="B271" s="1">
        <v>24.7</v>
      </c>
      <c r="C271" s="1">
        <v>16.899999999999999</v>
      </c>
      <c r="D271" s="225">
        <f t="shared" si="15"/>
        <v>4.7916666666666643</v>
      </c>
      <c r="E271" s="225"/>
      <c r="F271" s="225"/>
      <c r="G271" s="1">
        <f t="shared" si="16"/>
        <v>22.960069444444422</v>
      </c>
    </row>
    <row r="272" spans="1:8" x14ac:dyDescent="0.3">
      <c r="A272" s="1">
        <v>7</v>
      </c>
      <c r="B272" s="1">
        <v>13.1</v>
      </c>
      <c r="C272" s="1">
        <v>18.2</v>
      </c>
      <c r="D272" s="225">
        <f t="shared" si="15"/>
        <v>-6.8083333333333353</v>
      </c>
      <c r="E272" s="225"/>
      <c r="F272" s="225"/>
      <c r="G272" s="1">
        <f t="shared" si="16"/>
        <v>46.353402777777802</v>
      </c>
    </row>
    <row r="273" spans="1:8" x14ac:dyDescent="0.3">
      <c r="A273" s="1">
        <v>8</v>
      </c>
      <c r="B273" s="1">
        <v>10.199999999999999</v>
      </c>
      <c r="C273" s="1">
        <v>24.7</v>
      </c>
      <c r="D273" s="225">
        <f t="shared" si="15"/>
        <v>-9.7083333333333357</v>
      </c>
      <c r="E273" s="225"/>
      <c r="F273" s="225"/>
      <c r="G273" s="1">
        <f t="shared" si="16"/>
        <v>94.251736111111157</v>
      </c>
    </row>
    <row r="274" spans="1:8" x14ac:dyDescent="0.3">
      <c r="A274" s="1">
        <v>9</v>
      </c>
      <c r="B274" s="1">
        <v>29.3</v>
      </c>
      <c r="C274" s="1">
        <v>25.3</v>
      </c>
      <c r="D274" s="225">
        <f t="shared" si="15"/>
        <v>9.3916666666666657</v>
      </c>
      <c r="E274" s="225"/>
      <c r="F274" s="225"/>
      <c r="G274" s="1">
        <f t="shared" si="16"/>
        <v>88.203402777777754</v>
      </c>
    </row>
    <row r="275" spans="1:8" x14ac:dyDescent="0.3">
      <c r="A275" s="1">
        <v>10</v>
      </c>
      <c r="B275" s="1">
        <v>34.700000000000003</v>
      </c>
      <c r="C275" s="1">
        <v>28.4</v>
      </c>
      <c r="D275" s="225">
        <f t="shared" si="15"/>
        <v>14.791666666666668</v>
      </c>
      <c r="E275" s="225"/>
      <c r="F275" s="225"/>
      <c r="G275" s="1">
        <f t="shared" si="16"/>
        <v>218.7934027777778</v>
      </c>
    </row>
    <row r="276" spans="1:8" x14ac:dyDescent="0.3">
      <c r="A276" s="1">
        <v>11</v>
      </c>
      <c r="B276" s="1">
        <v>16.899999999999999</v>
      </c>
      <c r="C276" s="1">
        <v>29.3</v>
      </c>
      <c r="D276" s="225">
        <f t="shared" si="15"/>
        <v>-3.0083333333333364</v>
      </c>
      <c r="E276" s="225"/>
      <c r="F276" s="225"/>
      <c r="G276" s="1">
        <f t="shared" si="16"/>
        <v>9.0500694444444623</v>
      </c>
    </row>
    <row r="277" spans="1:8" x14ac:dyDescent="0.3">
      <c r="A277" s="1">
        <v>12</v>
      </c>
      <c r="B277" s="1">
        <v>25.3</v>
      </c>
      <c r="C277" s="1">
        <v>34.700000000000003</v>
      </c>
      <c r="D277" s="225">
        <f t="shared" si="15"/>
        <v>5.3916666666666657</v>
      </c>
      <c r="E277" s="225"/>
      <c r="F277" s="225"/>
      <c r="G277" s="1">
        <f t="shared" si="16"/>
        <v>29.070069444444435</v>
      </c>
    </row>
    <row r="278" spans="1:8" x14ac:dyDescent="0.3">
      <c r="A278" s="1" t="s">
        <v>3</v>
      </c>
      <c r="B278" s="4">
        <f>SUM(B266:B277)/12</f>
        <v>19.908333333333335</v>
      </c>
    </row>
    <row r="279" spans="1:8" ht="27.6" x14ac:dyDescent="0.3">
      <c r="A279" s="1" t="s">
        <v>43</v>
      </c>
      <c r="G279" s="193">
        <f>SUM(G266:G277)/11</f>
        <v>71.240833333333342</v>
      </c>
    </row>
    <row r="280" spans="1:8" ht="27.6" x14ac:dyDescent="0.3">
      <c r="A280" s="1" t="s">
        <v>43</v>
      </c>
      <c r="B280" s="193">
        <f>VAR(B266:B277)</f>
        <v>71.24083333333337</v>
      </c>
    </row>
    <row r="281" spans="1:8" ht="41.4" x14ac:dyDescent="0.3">
      <c r="A281" s="1" t="s">
        <v>44</v>
      </c>
      <c r="G281" s="193">
        <f>SQRT(G279)</f>
        <v>8.4404285041301872</v>
      </c>
    </row>
    <row r="282" spans="1:8" ht="41.4" x14ac:dyDescent="0.3">
      <c r="A282" s="1" t="s">
        <v>44</v>
      </c>
      <c r="B282" s="193">
        <f>STDEV(B266:B277)</f>
        <v>8.440428504130189</v>
      </c>
    </row>
    <row r="283" spans="1:8" x14ac:dyDescent="0.3">
      <c r="A283" s="225" t="s">
        <v>41</v>
      </c>
      <c r="B283" s="4" t="s">
        <v>39</v>
      </c>
      <c r="C283" s="1">
        <f>C268+(C269-C268)*0.25</f>
        <v>13.574999999999999</v>
      </c>
      <c r="D283" s="1">
        <f>QUARTILE($B$266:$B$277,1)</f>
        <v>14.525</v>
      </c>
    </row>
    <row r="284" spans="1:8" x14ac:dyDescent="0.3">
      <c r="A284" s="225"/>
      <c r="B284" s="4" t="s">
        <v>40</v>
      </c>
      <c r="C284" s="1">
        <f>C274+(C275-C274)*0.75</f>
        <v>27.625</v>
      </c>
      <c r="D284" s="1">
        <f>QUARTILE($B$266:$B$277,3)</f>
        <v>26.074999999999999</v>
      </c>
    </row>
    <row r="285" spans="1:8" ht="27.6" x14ac:dyDescent="0.3">
      <c r="A285" s="225"/>
      <c r="B285" s="1" t="s">
        <v>37</v>
      </c>
      <c r="C285" s="193">
        <f>C284-C283</f>
        <v>14.05</v>
      </c>
      <c r="D285" s="193">
        <f>D284-D283</f>
        <v>11.549999999999999</v>
      </c>
    </row>
    <row r="286" spans="1:8" ht="14.4" thickBot="1" x14ac:dyDescent="0.35"/>
    <row r="287" spans="1:8" ht="18" thickBot="1" x14ac:dyDescent="0.35">
      <c r="A287" s="221" t="s">
        <v>49</v>
      </c>
      <c r="B287" s="222"/>
      <c r="C287" s="222"/>
      <c r="D287" s="222"/>
      <c r="E287" s="222"/>
      <c r="F287" s="222"/>
      <c r="G287" s="222"/>
      <c r="H287" s="222"/>
    </row>
    <row r="288" spans="1:8" ht="41.4" x14ac:dyDescent="0.3">
      <c r="A288" s="1" t="s">
        <v>50</v>
      </c>
      <c r="B288" s="1" t="s">
        <v>51</v>
      </c>
      <c r="C288" s="1" t="s">
        <v>6</v>
      </c>
      <c r="D288" s="226" t="s">
        <v>32</v>
      </c>
      <c r="E288" s="226"/>
      <c r="F288" s="226"/>
      <c r="G288" s="1" t="s">
        <v>33</v>
      </c>
    </row>
    <row r="289" spans="1:7" x14ac:dyDescent="0.3">
      <c r="A289" s="1">
        <v>1</v>
      </c>
      <c r="B289" s="1">
        <v>12</v>
      </c>
      <c r="C289" s="1">
        <v>3</v>
      </c>
      <c r="D289" s="225">
        <f>B289-$B$301</f>
        <v>2.1666666666666661</v>
      </c>
      <c r="E289" s="225"/>
      <c r="F289" s="225"/>
      <c r="G289" s="1">
        <f>D289*D289</f>
        <v>4.694444444444442</v>
      </c>
    </row>
    <row r="290" spans="1:7" x14ac:dyDescent="0.3">
      <c r="A290" s="1">
        <v>2</v>
      </c>
      <c r="B290" s="1">
        <v>7</v>
      </c>
      <c r="C290" s="1">
        <v>4</v>
      </c>
      <c r="D290" s="225">
        <f t="shared" ref="D290:D300" si="17">B290-$B$301</f>
        <v>-2.8333333333333339</v>
      </c>
      <c r="E290" s="225"/>
      <c r="F290" s="225"/>
      <c r="G290" s="1">
        <f t="shared" ref="G290:G300" si="18">D290*D290</f>
        <v>8.0277777777777803</v>
      </c>
    </row>
    <row r="291" spans="1:7" x14ac:dyDescent="0.3">
      <c r="A291" s="1">
        <v>3</v>
      </c>
      <c r="B291" s="1">
        <v>4</v>
      </c>
      <c r="C291" s="1">
        <v>5</v>
      </c>
      <c r="D291" s="225">
        <f t="shared" si="17"/>
        <v>-5.8333333333333339</v>
      </c>
      <c r="E291" s="225"/>
      <c r="F291" s="225"/>
      <c r="G291" s="1">
        <f t="shared" si="18"/>
        <v>34.027777777777786</v>
      </c>
    </row>
    <row r="292" spans="1:7" x14ac:dyDescent="0.3">
      <c r="A292" s="1">
        <v>4</v>
      </c>
      <c r="B292" s="1">
        <v>16</v>
      </c>
      <c r="C292" s="1">
        <v>6</v>
      </c>
      <c r="D292" s="225">
        <f t="shared" si="17"/>
        <v>6.1666666666666661</v>
      </c>
      <c r="E292" s="225"/>
      <c r="F292" s="225"/>
      <c r="G292" s="1">
        <f t="shared" si="18"/>
        <v>38.027777777777771</v>
      </c>
    </row>
    <row r="293" spans="1:7" x14ac:dyDescent="0.3">
      <c r="A293" s="1">
        <v>5</v>
      </c>
      <c r="B293" s="1">
        <v>21</v>
      </c>
      <c r="C293" s="1">
        <v>7</v>
      </c>
      <c r="D293" s="225">
        <f t="shared" si="17"/>
        <v>11.166666666666666</v>
      </c>
      <c r="E293" s="225"/>
      <c r="F293" s="225"/>
      <c r="G293" s="1">
        <f t="shared" si="18"/>
        <v>124.69444444444443</v>
      </c>
    </row>
    <row r="294" spans="1:7" x14ac:dyDescent="0.3">
      <c r="A294" s="1">
        <v>6</v>
      </c>
      <c r="B294" s="1">
        <v>5</v>
      </c>
      <c r="C294" s="1">
        <v>9</v>
      </c>
      <c r="D294" s="225">
        <f t="shared" si="17"/>
        <v>-4.8333333333333339</v>
      </c>
      <c r="E294" s="225"/>
      <c r="F294" s="225"/>
      <c r="G294" s="1">
        <f t="shared" si="18"/>
        <v>23.361111111111118</v>
      </c>
    </row>
    <row r="295" spans="1:7" x14ac:dyDescent="0.3">
      <c r="A295" s="1">
        <v>7</v>
      </c>
      <c r="B295" s="1">
        <v>9</v>
      </c>
      <c r="C295" s="1">
        <v>10</v>
      </c>
      <c r="D295" s="225">
        <f t="shared" si="17"/>
        <v>-0.83333333333333393</v>
      </c>
      <c r="E295" s="225"/>
      <c r="F295" s="225"/>
      <c r="G295" s="1">
        <f t="shared" si="18"/>
        <v>0.69444444444444542</v>
      </c>
    </row>
    <row r="296" spans="1:7" x14ac:dyDescent="0.3">
      <c r="A296" s="1">
        <v>8</v>
      </c>
      <c r="B296" s="1">
        <v>3</v>
      </c>
      <c r="C296" s="1">
        <v>11</v>
      </c>
      <c r="D296" s="225">
        <f t="shared" si="17"/>
        <v>-6.8333333333333339</v>
      </c>
      <c r="E296" s="225"/>
      <c r="F296" s="225"/>
      <c r="G296" s="1">
        <f t="shared" si="18"/>
        <v>46.69444444444445</v>
      </c>
    </row>
    <row r="297" spans="1:7" x14ac:dyDescent="0.3">
      <c r="A297" s="1">
        <v>9</v>
      </c>
      <c r="B297" s="1">
        <v>11</v>
      </c>
      <c r="C297" s="1">
        <v>12</v>
      </c>
      <c r="D297" s="225">
        <f t="shared" si="17"/>
        <v>1.1666666666666661</v>
      </c>
      <c r="E297" s="225"/>
      <c r="F297" s="225"/>
      <c r="G297" s="1">
        <f t="shared" si="18"/>
        <v>1.3611111111111098</v>
      </c>
    </row>
    <row r="298" spans="1:7" x14ac:dyDescent="0.3">
      <c r="A298" s="1">
        <v>10</v>
      </c>
      <c r="B298" s="1">
        <v>14</v>
      </c>
      <c r="C298" s="1">
        <v>14</v>
      </c>
      <c r="D298" s="225">
        <f t="shared" si="17"/>
        <v>4.1666666666666661</v>
      </c>
      <c r="E298" s="225"/>
      <c r="F298" s="225"/>
      <c r="G298" s="1">
        <f t="shared" si="18"/>
        <v>17.361111111111107</v>
      </c>
    </row>
    <row r="299" spans="1:7" x14ac:dyDescent="0.3">
      <c r="A299" s="1">
        <v>11</v>
      </c>
      <c r="B299" s="1">
        <v>10</v>
      </c>
      <c r="C299" s="1">
        <v>16</v>
      </c>
      <c r="D299" s="225">
        <f t="shared" si="17"/>
        <v>0.16666666666666607</v>
      </c>
      <c r="E299" s="225"/>
      <c r="F299" s="225"/>
      <c r="G299" s="1">
        <f t="shared" si="18"/>
        <v>2.7777777777777582E-2</v>
      </c>
    </row>
    <row r="300" spans="1:7" x14ac:dyDescent="0.3">
      <c r="A300" s="1">
        <v>12</v>
      </c>
      <c r="B300" s="1">
        <v>6</v>
      </c>
      <c r="C300" s="1">
        <v>21</v>
      </c>
      <c r="D300" s="225">
        <f t="shared" si="17"/>
        <v>-3.8333333333333339</v>
      </c>
      <c r="E300" s="225"/>
      <c r="F300" s="225"/>
      <c r="G300" s="1">
        <f t="shared" si="18"/>
        <v>14.694444444444448</v>
      </c>
    </row>
    <row r="301" spans="1:7" x14ac:dyDescent="0.3">
      <c r="A301" s="1" t="s">
        <v>3</v>
      </c>
      <c r="B301" s="193">
        <f>SUM(B289:B300)/12</f>
        <v>9.8333333333333339</v>
      </c>
    </row>
    <row r="302" spans="1:7" x14ac:dyDescent="0.3">
      <c r="A302" s="1" t="s">
        <v>3</v>
      </c>
      <c r="B302" s="193">
        <f>AVERAGE(B289:B300)</f>
        <v>9.8333333333333339</v>
      </c>
    </row>
    <row r="303" spans="1:7" x14ac:dyDescent="0.3">
      <c r="A303" s="1" t="s">
        <v>5</v>
      </c>
      <c r="C303" s="193">
        <f>AVERAGE(C294:C295)</f>
        <v>9.5</v>
      </c>
    </row>
    <row r="304" spans="1:7" x14ac:dyDescent="0.3">
      <c r="A304" s="1" t="s">
        <v>5</v>
      </c>
      <c r="B304" s="193">
        <f>MEDIAN(B289:B300)</f>
        <v>9.5</v>
      </c>
    </row>
    <row r="305" spans="1:8" ht="27.6" x14ac:dyDescent="0.3">
      <c r="A305" s="1" t="s">
        <v>43</v>
      </c>
      <c r="G305" s="193">
        <f>SUM(G289:G300)/11</f>
        <v>28.515151515151512</v>
      </c>
    </row>
    <row r="306" spans="1:8" ht="27.6" x14ac:dyDescent="0.3">
      <c r="A306" s="1" t="s">
        <v>43</v>
      </c>
      <c r="B306" s="193">
        <f>VAR(B289:B300)</f>
        <v>28.515151515151523</v>
      </c>
    </row>
    <row r="307" spans="1:8" ht="41.4" x14ac:dyDescent="0.3">
      <c r="A307" s="1" t="s">
        <v>44</v>
      </c>
      <c r="G307" s="193">
        <f>SQRT(G305)</f>
        <v>5.3399580068715435</v>
      </c>
    </row>
    <row r="308" spans="1:8" ht="41.4" x14ac:dyDescent="0.3">
      <c r="A308" s="1" t="s">
        <v>44</v>
      </c>
      <c r="B308" s="193">
        <f>STDEV(B289:B300)</f>
        <v>5.3399580068715453</v>
      </c>
    </row>
    <row r="309" spans="1:8" x14ac:dyDescent="0.3">
      <c r="A309" s="225" t="s">
        <v>41</v>
      </c>
      <c r="B309" s="4" t="s">
        <v>39</v>
      </c>
      <c r="C309" s="1">
        <f>C291+(C292-C291)*0.25</f>
        <v>5.25</v>
      </c>
      <c r="D309" s="1">
        <f>QUARTILE($B$289:$B$300,1)</f>
        <v>5.75</v>
      </c>
    </row>
    <row r="310" spans="1:8" x14ac:dyDescent="0.3">
      <c r="A310" s="225"/>
      <c r="B310" s="4" t="s">
        <v>40</v>
      </c>
      <c r="C310" s="1">
        <f>C297+(C298-C297)*0.75</f>
        <v>13.5</v>
      </c>
      <c r="D310" s="1">
        <f>QUARTILE($B$289:$B$300,3)</f>
        <v>12.5</v>
      </c>
    </row>
    <row r="311" spans="1:8" ht="27.6" x14ac:dyDescent="0.3">
      <c r="A311" s="225"/>
      <c r="B311" s="1" t="s">
        <v>37</v>
      </c>
      <c r="C311" s="193">
        <f>C310-C309</f>
        <v>8.25</v>
      </c>
      <c r="D311" s="193">
        <f>D310-D309</f>
        <v>6.75</v>
      </c>
    </row>
    <row r="312" spans="1:8" ht="14.4" thickBot="1" x14ac:dyDescent="0.35"/>
    <row r="313" spans="1:8" ht="18" thickBot="1" x14ac:dyDescent="0.35">
      <c r="A313" s="221" t="s">
        <v>52</v>
      </c>
      <c r="B313" s="222"/>
      <c r="C313" s="222"/>
      <c r="D313" s="222"/>
      <c r="E313" s="222"/>
      <c r="F313" s="222"/>
      <c r="G313" s="222"/>
      <c r="H313" s="222"/>
    </row>
    <row r="314" spans="1:8" ht="41.4" x14ac:dyDescent="0.3">
      <c r="A314" s="1" t="s">
        <v>57</v>
      </c>
    </row>
    <row r="315" spans="1:8" x14ac:dyDescent="0.3">
      <c r="A315" s="1" t="s">
        <v>58</v>
      </c>
      <c r="B315" s="1" t="s">
        <v>53</v>
      </c>
      <c r="C315" s="1" t="s">
        <v>54</v>
      </c>
      <c r="D315" s="1" t="s">
        <v>55</v>
      </c>
      <c r="E315" s="1" t="s">
        <v>56</v>
      </c>
    </row>
    <row r="316" spans="1:8" x14ac:dyDescent="0.3">
      <c r="A316" s="1">
        <v>1</v>
      </c>
      <c r="B316" s="1">
        <v>1</v>
      </c>
      <c r="C316" s="1">
        <v>1</v>
      </c>
      <c r="D316" s="1">
        <v>1</v>
      </c>
      <c r="E316" s="1">
        <v>-6</v>
      </c>
    </row>
    <row r="317" spans="1:8" x14ac:dyDescent="0.3">
      <c r="A317" s="1">
        <v>2</v>
      </c>
      <c r="B317" s="1">
        <v>2</v>
      </c>
      <c r="C317" s="1">
        <v>1</v>
      </c>
      <c r="D317" s="1">
        <v>1</v>
      </c>
      <c r="E317" s="1">
        <v>-3</v>
      </c>
    </row>
    <row r="318" spans="1:8" x14ac:dyDescent="0.3">
      <c r="A318" s="1">
        <v>3</v>
      </c>
      <c r="B318" s="1">
        <v>3</v>
      </c>
      <c r="C318" s="1">
        <v>1</v>
      </c>
      <c r="D318" s="1">
        <v>4</v>
      </c>
      <c r="E318" s="1">
        <v>0</v>
      </c>
    </row>
    <row r="319" spans="1:8" x14ac:dyDescent="0.3">
      <c r="A319" s="1">
        <v>4</v>
      </c>
      <c r="B319" s="1">
        <v>4</v>
      </c>
      <c r="C319" s="1">
        <v>1</v>
      </c>
      <c r="D319" s="1">
        <v>4</v>
      </c>
      <c r="E319" s="1">
        <v>3</v>
      </c>
    </row>
    <row r="320" spans="1:8" x14ac:dyDescent="0.3">
      <c r="A320" s="1">
        <v>5</v>
      </c>
      <c r="B320" s="1">
        <v>5</v>
      </c>
      <c r="C320" s="1">
        <v>8</v>
      </c>
      <c r="D320" s="1">
        <v>5</v>
      </c>
      <c r="E320" s="1">
        <v>6</v>
      </c>
    </row>
    <row r="321" spans="1:8" x14ac:dyDescent="0.3">
      <c r="A321" s="1">
        <v>6</v>
      </c>
      <c r="B321" s="1">
        <v>6</v>
      </c>
      <c r="C321" s="1">
        <v>8</v>
      </c>
      <c r="D321" s="1">
        <v>5</v>
      </c>
      <c r="E321" s="1">
        <v>9</v>
      </c>
    </row>
    <row r="322" spans="1:8" x14ac:dyDescent="0.3">
      <c r="A322" s="1">
        <v>7</v>
      </c>
      <c r="B322" s="1">
        <v>7</v>
      </c>
      <c r="C322" s="1">
        <v>8</v>
      </c>
      <c r="D322" s="1">
        <v>8</v>
      </c>
      <c r="E322" s="1">
        <v>12</v>
      </c>
    </row>
    <row r="323" spans="1:8" x14ac:dyDescent="0.3">
      <c r="A323" s="1">
        <v>8</v>
      </c>
      <c r="B323" s="1">
        <v>8</v>
      </c>
      <c r="C323" s="1">
        <v>8</v>
      </c>
      <c r="D323" s="1">
        <v>8</v>
      </c>
      <c r="E323" s="1">
        <v>15</v>
      </c>
    </row>
    <row r="324" spans="1:8" ht="27.6" x14ac:dyDescent="0.3">
      <c r="A324" s="1" t="s">
        <v>30</v>
      </c>
      <c r="B324" s="4">
        <f>VARP(B316:B323)</f>
        <v>5.25</v>
      </c>
      <c r="C324" s="4">
        <f>VARP(C316:C323)</f>
        <v>12.25</v>
      </c>
      <c r="D324" s="4">
        <f>VARP(D316:D323)</f>
        <v>6.25</v>
      </c>
      <c r="E324" s="4">
        <f>VARP(E316:E323)</f>
        <v>47.25</v>
      </c>
    </row>
    <row r="326" spans="1:8" ht="27.6" x14ac:dyDescent="0.3">
      <c r="A326" s="1" t="s">
        <v>59</v>
      </c>
      <c r="B326" s="193" t="s">
        <v>60</v>
      </c>
      <c r="C326" s="1" t="b">
        <v>1</v>
      </c>
    </row>
    <row r="327" spans="1:8" ht="14.4" thickBot="1" x14ac:dyDescent="0.35"/>
    <row r="328" spans="1:8" ht="18" thickBot="1" x14ac:dyDescent="0.35">
      <c r="A328" s="221" t="s">
        <v>61</v>
      </c>
      <c r="B328" s="222"/>
      <c r="C328" s="222"/>
      <c r="D328" s="222"/>
      <c r="E328" s="222"/>
      <c r="F328" s="222"/>
      <c r="G328" s="222"/>
      <c r="H328" s="222"/>
    </row>
    <row r="329" spans="1:8" ht="55.2" x14ac:dyDescent="0.3">
      <c r="B329" s="1" t="s">
        <v>62</v>
      </c>
    </row>
    <row r="330" spans="1:8" x14ac:dyDescent="0.3">
      <c r="A330" s="1" t="s">
        <v>3</v>
      </c>
      <c r="B330" s="1">
        <v>295</v>
      </c>
    </row>
    <row r="331" spans="1:8" ht="27.6" x14ac:dyDescent="0.3">
      <c r="A331" s="1" t="s">
        <v>4</v>
      </c>
      <c r="B331" s="1">
        <v>63</v>
      </c>
    </row>
    <row r="332" spans="1:8" x14ac:dyDescent="0.3">
      <c r="A332" s="5" t="s">
        <v>53</v>
      </c>
    </row>
    <row r="333" spans="1:8" ht="14.4" customHeight="1" x14ac:dyDescent="0.3">
      <c r="A333" s="223">
        <v>0.6</v>
      </c>
      <c r="B333" s="224"/>
      <c r="C333" s="224"/>
      <c r="D333" s="224"/>
      <c r="E333" s="224"/>
      <c r="F333" s="224"/>
      <c r="G333" s="224"/>
      <c r="H333" s="224"/>
    </row>
    <row r="334" spans="1:8" ht="16.8" x14ac:dyDescent="0.3">
      <c r="A334" s="1" t="s">
        <v>63</v>
      </c>
      <c r="B334" s="1" t="s">
        <v>64</v>
      </c>
      <c r="C334" s="1">
        <v>60</v>
      </c>
    </row>
    <row r="335" spans="1:8" x14ac:dyDescent="0.3">
      <c r="B335" s="1" t="s">
        <v>66</v>
      </c>
      <c r="C335" s="1">
        <v>0.6</v>
      </c>
    </row>
    <row r="336" spans="1:8" x14ac:dyDescent="0.3">
      <c r="B336" s="1" t="s">
        <v>67</v>
      </c>
      <c r="C336" s="1">
        <v>0.4</v>
      </c>
    </row>
    <row r="337" spans="1:8" x14ac:dyDescent="0.3">
      <c r="B337" s="1" t="s">
        <v>68</v>
      </c>
      <c r="C337" s="1">
        <v>2.5</v>
      </c>
    </row>
    <row r="338" spans="1:8" x14ac:dyDescent="0.3">
      <c r="B338" s="1" t="s">
        <v>65</v>
      </c>
      <c r="C338" s="1">
        <f>SQRT(C337)</f>
        <v>1.5811388300841898</v>
      </c>
    </row>
    <row r="340" spans="1:8" x14ac:dyDescent="0.3">
      <c r="B340" s="1" t="s">
        <v>69</v>
      </c>
      <c r="C340" s="1">
        <f>C338*B331</f>
        <v>99.611746295303959</v>
      </c>
    </row>
    <row r="341" spans="1:8" ht="27.6" x14ac:dyDescent="0.3">
      <c r="B341" s="1" t="s">
        <v>70</v>
      </c>
      <c r="C341" s="193">
        <f>B330-C340</f>
        <v>195.38825370469604</v>
      </c>
      <c r="D341" s="1" t="s">
        <v>71</v>
      </c>
      <c r="E341" s="193">
        <f>B330+C340</f>
        <v>394.61174629530399</v>
      </c>
      <c r="F341" s="1" t="s">
        <v>72</v>
      </c>
      <c r="G341" s="1" t="s">
        <v>73</v>
      </c>
    </row>
    <row r="342" spans="1:8" x14ac:dyDescent="0.3">
      <c r="A342" s="5" t="s">
        <v>54</v>
      </c>
    </row>
    <row r="343" spans="1:8" x14ac:dyDescent="0.3">
      <c r="A343" s="223">
        <v>0.8</v>
      </c>
      <c r="B343" s="224"/>
      <c r="C343" s="224"/>
      <c r="D343" s="224"/>
      <c r="E343" s="224"/>
      <c r="F343" s="224"/>
      <c r="G343" s="224"/>
      <c r="H343" s="224"/>
    </row>
    <row r="344" spans="1:8" ht="16.8" x14ac:dyDescent="0.3">
      <c r="A344" s="1" t="s">
        <v>63</v>
      </c>
      <c r="B344" s="1" t="s">
        <v>64</v>
      </c>
      <c r="C344" s="1">
        <v>80</v>
      </c>
    </row>
    <row r="345" spans="1:8" x14ac:dyDescent="0.3">
      <c r="B345" s="1" t="s">
        <v>66</v>
      </c>
      <c r="C345" s="1">
        <v>0.8</v>
      </c>
    </row>
    <row r="346" spans="1:8" x14ac:dyDescent="0.3">
      <c r="B346" s="1" t="s">
        <v>67</v>
      </c>
      <c r="C346" s="1">
        <v>0.2</v>
      </c>
    </row>
    <row r="347" spans="1:8" x14ac:dyDescent="0.3">
      <c r="B347" s="1" t="s">
        <v>68</v>
      </c>
      <c r="C347" s="1">
        <v>5</v>
      </c>
    </row>
    <row r="348" spans="1:8" x14ac:dyDescent="0.3">
      <c r="B348" s="1" t="s">
        <v>65</v>
      </c>
      <c r="C348" s="1">
        <f>SQRT(C347)</f>
        <v>2.2360679774997898</v>
      </c>
    </row>
    <row r="350" spans="1:8" x14ac:dyDescent="0.3">
      <c r="B350" s="1" t="s">
        <v>69</v>
      </c>
      <c r="C350" s="1">
        <f>C348*B331</f>
        <v>140.87228258248675</v>
      </c>
    </row>
    <row r="351" spans="1:8" ht="27.6" x14ac:dyDescent="0.3">
      <c r="B351" s="1" t="s">
        <v>74</v>
      </c>
      <c r="C351" s="193">
        <f>B330-C350</f>
        <v>154.12771741751325</v>
      </c>
      <c r="D351" s="1" t="s">
        <v>71</v>
      </c>
      <c r="E351" s="193">
        <f>B330+C350</f>
        <v>435.87228258248672</v>
      </c>
      <c r="F351" s="1" t="s">
        <v>72</v>
      </c>
      <c r="G351" s="1" t="s">
        <v>73</v>
      </c>
    </row>
    <row r="352" spans="1:8" ht="14.4" thickBot="1" x14ac:dyDescent="0.35"/>
    <row r="353" spans="1:8" ht="18" thickBot="1" x14ac:dyDescent="0.35">
      <c r="A353" s="221" t="s">
        <v>80</v>
      </c>
      <c r="B353" s="222"/>
      <c r="C353" s="222"/>
      <c r="D353" s="222"/>
      <c r="E353" s="222"/>
      <c r="F353" s="222"/>
      <c r="G353" s="222"/>
      <c r="H353" s="222"/>
    </row>
    <row r="354" spans="1:8" ht="27.6" x14ac:dyDescent="0.3">
      <c r="B354" s="1" t="s">
        <v>75</v>
      </c>
    </row>
    <row r="355" spans="1:8" x14ac:dyDescent="0.3">
      <c r="A355" s="1" t="s">
        <v>3</v>
      </c>
      <c r="B355" s="1">
        <v>9.1999999999999993</v>
      </c>
    </row>
    <row r="356" spans="1:8" ht="27.6" x14ac:dyDescent="0.3">
      <c r="A356" s="1" t="s">
        <v>4</v>
      </c>
      <c r="B356" s="1">
        <v>3.5</v>
      </c>
    </row>
    <row r="357" spans="1:8" x14ac:dyDescent="0.3">
      <c r="A357" s="5" t="s">
        <v>53</v>
      </c>
    </row>
    <row r="358" spans="1:8" x14ac:dyDescent="0.3">
      <c r="A358" s="223">
        <v>0.84</v>
      </c>
      <c r="B358" s="224"/>
      <c r="C358" s="224"/>
      <c r="D358" s="224"/>
      <c r="E358" s="224"/>
      <c r="F358" s="224"/>
      <c r="G358" s="224"/>
      <c r="H358" s="224"/>
    </row>
    <row r="359" spans="1:8" ht="16.8" x14ac:dyDescent="0.3">
      <c r="A359" s="1" t="s">
        <v>63</v>
      </c>
      <c r="B359" s="1" t="s">
        <v>64</v>
      </c>
      <c r="C359" s="1">
        <v>84</v>
      </c>
    </row>
    <row r="360" spans="1:8" x14ac:dyDescent="0.3">
      <c r="B360" s="1" t="s">
        <v>66</v>
      </c>
      <c r="C360" s="1">
        <v>0.84</v>
      </c>
    </row>
    <row r="361" spans="1:8" x14ac:dyDescent="0.3">
      <c r="B361" s="1" t="s">
        <v>67</v>
      </c>
      <c r="C361" s="1">
        <v>0.16</v>
      </c>
    </row>
    <row r="362" spans="1:8" x14ac:dyDescent="0.3">
      <c r="B362" s="1" t="s">
        <v>68</v>
      </c>
      <c r="C362" s="1">
        <f>1/C361</f>
        <v>6.25</v>
      </c>
    </row>
    <row r="363" spans="1:8" x14ac:dyDescent="0.3">
      <c r="B363" s="1" t="s">
        <v>65</v>
      </c>
      <c r="C363" s="1">
        <f>SQRT(C362)</f>
        <v>2.5</v>
      </c>
    </row>
    <row r="365" spans="1:8" x14ac:dyDescent="0.3">
      <c r="B365" s="1" t="s">
        <v>69</v>
      </c>
      <c r="C365" s="1">
        <f>C363*B356</f>
        <v>8.75</v>
      </c>
    </row>
    <row r="366" spans="1:8" ht="27" customHeight="1" x14ac:dyDescent="0.3">
      <c r="A366" s="225" t="s">
        <v>85</v>
      </c>
      <c r="B366" s="225"/>
      <c r="C366" s="193">
        <f>B355-C365</f>
        <v>0.44999999999999929</v>
      </c>
      <c r="D366" s="1" t="s">
        <v>71</v>
      </c>
      <c r="E366" s="193">
        <f>B355+C365</f>
        <v>17.95</v>
      </c>
      <c r="F366" s="1" t="s">
        <v>76</v>
      </c>
      <c r="G366" s="1" t="s">
        <v>73</v>
      </c>
    </row>
    <row r="368" spans="1:8" x14ac:dyDescent="0.3">
      <c r="A368" s="5" t="s">
        <v>54</v>
      </c>
    </row>
    <row r="369" spans="1:8" x14ac:dyDescent="0.3">
      <c r="A369" s="223" t="s">
        <v>77</v>
      </c>
      <c r="B369" s="224"/>
      <c r="C369" s="224"/>
      <c r="D369" s="224"/>
      <c r="E369" s="224"/>
      <c r="F369" s="224"/>
      <c r="G369" s="224"/>
      <c r="H369" s="224"/>
    </row>
    <row r="371" spans="1:8" x14ac:dyDescent="0.3">
      <c r="A371" s="225" t="s">
        <v>87</v>
      </c>
      <c r="B371" s="225"/>
      <c r="C371" s="225"/>
      <c r="D371" s="225"/>
      <c r="E371" s="225"/>
      <c r="F371" s="225"/>
      <c r="G371" s="225"/>
      <c r="H371" s="225"/>
    </row>
    <row r="373" spans="1:8" ht="13.95" customHeight="1" x14ac:dyDescent="0.3">
      <c r="A373" s="193">
        <f>B355-B356</f>
        <v>5.6999999999999993</v>
      </c>
      <c r="B373" s="1" t="s">
        <v>78</v>
      </c>
      <c r="C373" s="193">
        <f>B355+B356</f>
        <v>12.7</v>
      </c>
      <c r="D373" s="225" t="s">
        <v>79</v>
      </c>
      <c r="E373" s="225"/>
      <c r="F373" s="225"/>
      <c r="G373" s="225"/>
      <c r="H373" s="225"/>
    </row>
    <row r="374" spans="1:8" ht="14.4" thickBot="1" x14ac:dyDescent="0.35"/>
    <row r="375" spans="1:8" ht="18" thickBot="1" x14ac:dyDescent="0.35">
      <c r="A375" s="221" t="s">
        <v>81</v>
      </c>
      <c r="B375" s="222"/>
      <c r="C375" s="222"/>
      <c r="D375" s="222"/>
      <c r="E375" s="222"/>
      <c r="F375" s="222"/>
      <c r="G375" s="222"/>
      <c r="H375" s="222"/>
    </row>
    <row r="376" spans="1:8" ht="41.4" x14ac:dyDescent="0.3">
      <c r="B376" s="1" t="s">
        <v>82</v>
      </c>
    </row>
    <row r="377" spans="1:8" x14ac:dyDescent="0.3">
      <c r="A377" s="1" t="s">
        <v>3</v>
      </c>
      <c r="B377" s="1">
        <v>29000</v>
      </c>
    </row>
    <row r="378" spans="1:8" ht="27.6" x14ac:dyDescent="0.3">
      <c r="A378" s="1" t="s">
        <v>4</v>
      </c>
      <c r="B378" s="1">
        <v>3000</v>
      </c>
    </row>
    <row r="379" spans="1:8" x14ac:dyDescent="0.3">
      <c r="A379" s="5" t="s">
        <v>53</v>
      </c>
    </row>
    <row r="380" spans="1:8" x14ac:dyDescent="0.3">
      <c r="A380" s="223">
        <v>0.75</v>
      </c>
      <c r="B380" s="224"/>
      <c r="C380" s="224"/>
      <c r="D380" s="224"/>
      <c r="E380" s="224"/>
      <c r="F380" s="224"/>
      <c r="G380" s="224"/>
      <c r="H380" s="224"/>
    </row>
    <row r="381" spans="1:8" ht="16.8" x14ac:dyDescent="0.3">
      <c r="A381" s="1" t="s">
        <v>63</v>
      </c>
      <c r="B381" s="1" t="s">
        <v>64</v>
      </c>
      <c r="C381" s="1">
        <v>75</v>
      </c>
    </row>
    <row r="382" spans="1:8" x14ac:dyDescent="0.3">
      <c r="B382" s="1" t="s">
        <v>66</v>
      </c>
      <c r="C382" s="1">
        <v>0.75</v>
      </c>
    </row>
    <row r="383" spans="1:8" x14ac:dyDescent="0.3">
      <c r="B383" s="1" t="s">
        <v>67</v>
      </c>
      <c r="C383" s="1">
        <v>0.25</v>
      </c>
    </row>
    <row r="384" spans="1:8" x14ac:dyDescent="0.3">
      <c r="B384" s="1" t="s">
        <v>68</v>
      </c>
      <c r="C384" s="1">
        <f>1/C383</f>
        <v>4</v>
      </c>
    </row>
    <row r="385" spans="1:8" x14ac:dyDescent="0.3">
      <c r="B385" s="1" t="s">
        <v>65</v>
      </c>
      <c r="C385" s="193">
        <f>SQRT(C384)</f>
        <v>2</v>
      </c>
    </row>
    <row r="387" spans="1:8" x14ac:dyDescent="0.3">
      <c r="B387" s="1" t="s">
        <v>69</v>
      </c>
      <c r="C387" s="1">
        <f>C385*B378</f>
        <v>6000</v>
      </c>
    </row>
    <row r="388" spans="1:8" ht="14.4" customHeight="1" x14ac:dyDescent="0.3">
      <c r="A388" s="225" t="s">
        <v>84</v>
      </c>
      <c r="B388" s="225"/>
      <c r="C388" s="193">
        <f>B377-C387</f>
        <v>23000</v>
      </c>
      <c r="D388" s="1" t="s">
        <v>71</v>
      </c>
      <c r="E388" s="193">
        <f>B377+C387</f>
        <v>35000</v>
      </c>
      <c r="F388" s="1" t="s">
        <v>83</v>
      </c>
      <c r="G388" s="1" t="s">
        <v>73</v>
      </c>
    </row>
    <row r="389" spans="1:8" x14ac:dyDescent="0.3">
      <c r="C389" s="168"/>
    </row>
    <row r="390" spans="1:8" x14ac:dyDescent="0.3">
      <c r="A390" s="5" t="s">
        <v>54</v>
      </c>
    </row>
    <row r="391" spans="1:8" x14ac:dyDescent="0.3">
      <c r="A391" s="223" t="s">
        <v>86</v>
      </c>
      <c r="B391" s="224"/>
      <c r="C391" s="224"/>
      <c r="D391" s="224"/>
      <c r="E391" s="224"/>
      <c r="F391" s="224"/>
      <c r="G391" s="224"/>
      <c r="H391" s="224"/>
    </row>
    <row r="393" spans="1:8" x14ac:dyDescent="0.3">
      <c r="A393" s="225" t="s">
        <v>88</v>
      </c>
      <c r="B393" s="225"/>
      <c r="C393" s="225"/>
      <c r="D393" s="225"/>
      <c r="E393" s="225"/>
      <c r="F393" s="225"/>
      <c r="G393" s="225"/>
      <c r="H393" s="225"/>
    </row>
    <row r="395" spans="1:8" x14ac:dyDescent="0.3">
      <c r="A395" s="2">
        <f>B377-B378*2</f>
        <v>23000</v>
      </c>
      <c r="B395" s="1" t="s">
        <v>78</v>
      </c>
      <c r="C395" s="2">
        <f>B377+B378*2</f>
        <v>35000</v>
      </c>
      <c r="D395" s="225" t="s">
        <v>89</v>
      </c>
      <c r="E395" s="225"/>
      <c r="F395" s="225"/>
      <c r="G395" s="225"/>
      <c r="H395" s="225"/>
    </row>
    <row r="396" spans="1:8" ht="14.4" thickBot="1" x14ac:dyDescent="0.35"/>
    <row r="397" spans="1:8" ht="18" thickBot="1" x14ac:dyDescent="0.35">
      <c r="A397" s="221" t="s">
        <v>90</v>
      </c>
      <c r="B397" s="222"/>
      <c r="C397" s="222"/>
      <c r="D397" s="222"/>
      <c r="E397" s="222"/>
      <c r="F397" s="222"/>
      <c r="G397" s="222"/>
      <c r="H397" s="222"/>
    </row>
    <row r="398" spans="1:8" ht="55.2" x14ac:dyDescent="0.3">
      <c r="A398" s="1" t="s">
        <v>91</v>
      </c>
      <c r="B398" s="1" t="s">
        <v>92</v>
      </c>
      <c r="C398" s="1" t="s">
        <v>36</v>
      </c>
      <c r="D398" s="1" t="s">
        <v>99</v>
      </c>
      <c r="E398" s="1" t="s">
        <v>886</v>
      </c>
    </row>
    <row r="399" spans="1:8" x14ac:dyDescent="0.3">
      <c r="A399" s="1">
        <v>1</v>
      </c>
      <c r="B399" s="1">
        <v>54</v>
      </c>
      <c r="C399" s="1" t="s">
        <v>93</v>
      </c>
      <c r="D399" s="1">
        <f>COUNTIF(B399:B438,"&lt;60")</f>
        <v>4</v>
      </c>
      <c r="E399" s="1">
        <v>4</v>
      </c>
    </row>
    <row r="400" spans="1:8" x14ac:dyDescent="0.3">
      <c r="A400" s="1">
        <v>2</v>
      </c>
      <c r="B400" s="1">
        <v>62</v>
      </c>
      <c r="C400" s="1" t="s">
        <v>94</v>
      </c>
      <c r="D400" s="1">
        <f>COUNTIF($B$399:$B$438,"&lt;70")-D399</f>
        <v>7</v>
      </c>
      <c r="E400" s="1">
        <f>SUM(E399,D400)</f>
        <v>11</v>
      </c>
    </row>
    <row r="401" spans="1:17" x14ac:dyDescent="0.3">
      <c r="A401" s="1">
        <v>3</v>
      </c>
      <c r="B401" s="1">
        <v>68</v>
      </c>
      <c r="C401" s="1" t="s">
        <v>95</v>
      </c>
      <c r="D401" s="1">
        <f>COUNTIF($B$399:$B$438,"&lt;80")-D400-D399</f>
        <v>10</v>
      </c>
      <c r="E401" s="1">
        <f t="shared" ref="E401:E403" si="19">SUM(E400,D401)</f>
        <v>21</v>
      </c>
    </row>
    <row r="402" spans="1:17" x14ac:dyDescent="0.3">
      <c r="A402" s="1">
        <v>4</v>
      </c>
      <c r="B402" s="1">
        <v>73</v>
      </c>
      <c r="C402" s="1" t="s">
        <v>96</v>
      </c>
      <c r="D402" s="1">
        <f>COUNTIF($B$399:$B$438,"&lt;90")-D401-D400-D399</f>
        <v>11</v>
      </c>
      <c r="E402" s="1">
        <f t="shared" si="19"/>
        <v>32</v>
      </c>
    </row>
    <row r="403" spans="1:17" x14ac:dyDescent="0.3">
      <c r="A403" s="1">
        <v>5</v>
      </c>
      <c r="B403" s="1">
        <v>79</v>
      </c>
      <c r="C403" s="1" t="s">
        <v>97</v>
      </c>
      <c r="D403" s="1">
        <f>COUNTIF($B$399:$B$438,"&lt;100")-D402-D401-D400-D399</f>
        <v>8</v>
      </c>
      <c r="E403" s="1">
        <f t="shared" si="19"/>
        <v>40</v>
      </c>
    </row>
    <row r="404" spans="1:17" x14ac:dyDescent="0.3">
      <c r="A404" s="1">
        <v>6</v>
      </c>
      <c r="B404" s="1">
        <v>83</v>
      </c>
      <c r="C404" s="1" t="s">
        <v>98</v>
      </c>
      <c r="D404" s="1">
        <f>SUM(D399:D403)</f>
        <v>40</v>
      </c>
    </row>
    <row r="405" spans="1:17" x14ac:dyDescent="0.3">
      <c r="A405" s="1">
        <v>7</v>
      </c>
      <c r="B405" s="1">
        <v>89</v>
      </c>
    </row>
    <row r="406" spans="1:17" x14ac:dyDescent="0.3">
      <c r="A406" s="1">
        <v>8</v>
      </c>
      <c r="B406" s="1">
        <v>93</v>
      </c>
    </row>
    <row r="407" spans="1:17" x14ac:dyDescent="0.3">
      <c r="A407" s="1">
        <v>9</v>
      </c>
      <c r="B407" s="1">
        <v>56</v>
      </c>
    </row>
    <row r="408" spans="1:17" x14ac:dyDescent="0.3">
      <c r="A408" s="1">
        <v>10</v>
      </c>
      <c r="B408" s="1">
        <v>62</v>
      </c>
    </row>
    <row r="409" spans="1:17" x14ac:dyDescent="0.3">
      <c r="A409" s="1">
        <v>11</v>
      </c>
      <c r="B409" s="1">
        <v>70</v>
      </c>
    </row>
    <row r="410" spans="1:17" x14ac:dyDescent="0.3">
      <c r="A410" s="1">
        <v>12</v>
      </c>
      <c r="B410" s="1">
        <v>75</v>
      </c>
      <c r="C410" s="1" t="s">
        <v>914</v>
      </c>
      <c r="D410" s="220">
        <f>SUM(B399:B438)/40</f>
        <v>77.55</v>
      </c>
    </row>
    <row r="411" spans="1:17" x14ac:dyDescent="0.3">
      <c r="A411" s="1">
        <v>13</v>
      </c>
      <c r="B411" s="1">
        <v>81</v>
      </c>
      <c r="C411" s="1" t="s">
        <v>899</v>
      </c>
      <c r="D411" s="220">
        <v>75</v>
      </c>
    </row>
    <row r="412" spans="1:17" x14ac:dyDescent="0.3">
      <c r="A412" s="1">
        <v>14</v>
      </c>
      <c r="B412" s="1">
        <v>85</v>
      </c>
      <c r="C412" s="1" t="s">
        <v>900</v>
      </c>
      <c r="D412" s="220">
        <v>73</v>
      </c>
      <c r="N412" s="1">
        <v>1</v>
      </c>
      <c r="O412" s="1">
        <v>54</v>
      </c>
      <c r="P412" s="1">
        <v>77.55</v>
      </c>
      <c r="Q412" s="1">
        <f>(O412-$P$412)^2</f>
        <v>554.60249999999985</v>
      </c>
    </row>
    <row r="413" spans="1:17" x14ac:dyDescent="0.3">
      <c r="A413" s="1">
        <v>15</v>
      </c>
      <c r="B413" s="1">
        <v>89</v>
      </c>
      <c r="C413" s="1" t="s">
        <v>903</v>
      </c>
      <c r="D413" s="220">
        <v>98</v>
      </c>
      <c r="N413" s="1">
        <v>2</v>
      </c>
      <c r="O413" s="1">
        <v>56</v>
      </c>
      <c r="Q413" s="1">
        <f t="shared" ref="Q413:Q451" si="20">(O413-$P$412)^2</f>
        <v>464.40249999999986</v>
      </c>
    </row>
    <row r="414" spans="1:17" x14ac:dyDescent="0.3">
      <c r="A414" s="1">
        <v>16</v>
      </c>
      <c r="B414" s="1">
        <v>93</v>
      </c>
      <c r="C414" s="1" t="s">
        <v>904</v>
      </c>
      <c r="D414" s="220">
        <v>54</v>
      </c>
      <c r="N414" s="1">
        <v>3</v>
      </c>
      <c r="O414" s="1">
        <v>56</v>
      </c>
      <c r="Q414" s="1">
        <f t="shared" si="20"/>
        <v>464.40249999999986</v>
      </c>
    </row>
    <row r="415" spans="1:17" x14ac:dyDescent="0.3">
      <c r="A415" s="1">
        <v>17</v>
      </c>
      <c r="B415" s="1">
        <v>56</v>
      </c>
      <c r="C415" s="1" t="s">
        <v>915</v>
      </c>
      <c r="D415" s="220">
        <f>GEOMEAN(B399:B438)</f>
        <v>76.557223077447702</v>
      </c>
      <c r="N415" s="1">
        <v>4</v>
      </c>
      <c r="O415" s="1">
        <v>59</v>
      </c>
      <c r="Q415" s="1">
        <f t="shared" si="20"/>
        <v>344.10249999999991</v>
      </c>
    </row>
    <row r="416" spans="1:17" ht="55.2" x14ac:dyDescent="0.3">
      <c r="A416" s="1">
        <v>18</v>
      </c>
      <c r="B416" s="1">
        <v>66</v>
      </c>
      <c r="C416" s="220" t="s">
        <v>905</v>
      </c>
      <c r="D416" s="220">
        <f>D413-D414</f>
        <v>44</v>
      </c>
      <c r="E416" s="1" t="s">
        <v>920</v>
      </c>
      <c r="N416" s="1">
        <v>5</v>
      </c>
      <c r="O416" s="1">
        <v>60</v>
      </c>
      <c r="Q416" s="1">
        <f t="shared" si="20"/>
        <v>308.00249999999988</v>
      </c>
    </row>
    <row r="417" spans="1:17" x14ac:dyDescent="0.3">
      <c r="A417" s="1">
        <v>19</v>
      </c>
      <c r="B417" s="1">
        <v>70</v>
      </c>
      <c r="C417" s="1" t="s">
        <v>906</v>
      </c>
      <c r="D417" s="220">
        <f>41/4</f>
        <v>10.25</v>
      </c>
      <c r="E417" s="1">
        <v>68</v>
      </c>
      <c r="N417" s="1">
        <v>6</v>
      </c>
      <c r="O417" s="1">
        <v>62</v>
      </c>
      <c r="Q417" s="1">
        <f t="shared" si="20"/>
        <v>241.80249999999992</v>
      </c>
    </row>
    <row r="418" spans="1:17" x14ac:dyDescent="0.3">
      <c r="A418" s="1">
        <v>20</v>
      </c>
      <c r="B418" s="1">
        <v>77</v>
      </c>
      <c r="C418" s="1" t="s">
        <v>907</v>
      </c>
      <c r="D418" s="220">
        <f>D417*2</f>
        <v>20.5</v>
      </c>
      <c r="E418" s="1">
        <v>79</v>
      </c>
      <c r="N418" s="1">
        <v>7</v>
      </c>
      <c r="O418" s="1">
        <v>62</v>
      </c>
      <c r="Q418" s="1">
        <f t="shared" si="20"/>
        <v>241.80249999999992</v>
      </c>
    </row>
    <row r="419" spans="1:17" x14ac:dyDescent="0.3">
      <c r="A419" s="1">
        <v>21</v>
      </c>
      <c r="B419" s="1">
        <v>81</v>
      </c>
      <c r="C419" s="1" t="s">
        <v>908</v>
      </c>
      <c r="D419" s="220">
        <f>D417*3</f>
        <v>30.75</v>
      </c>
      <c r="E419" s="1">
        <v>88.75</v>
      </c>
      <c r="N419" s="1">
        <v>8</v>
      </c>
      <c r="O419" s="1">
        <v>66</v>
      </c>
      <c r="Q419" s="1">
        <f t="shared" si="20"/>
        <v>133.40249999999995</v>
      </c>
    </row>
    <row r="420" spans="1:17" x14ac:dyDescent="0.3">
      <c r="A420" s="1">
        <v>22</v>
      </c>
      <c r="B420" s="1">
        <v>86</v>
      </c>
      <c r="D420" s="220"/>
      <c r="N420" s="1">
        <v>9</v>
      </c>
      <c r="O420" s="1">
        <v>67</v>
      </c>
      <c r="Q420" s="1">
        <f t="shared" si="20"/>
        <v>111.30249999999994</v>
      </c>
    </row>
    <row r="421" spans="1:17" ht="27.6" x14ac:dyDescent="0.3">
      <c r="A421" s="1">
        <v>23</v>
      </c>
      <c r="B421" s="1">
        <v>90</v>
      </c>
      <c r="C421" s="2" t="s">
        <v>916</v>
      </c>
      <c r="D421" s="2">
        <f>E419-E417</f>
        <v>20.75</v>
      </c>
      <c r="E421" s="1" t="s">
        <v>921</v>
      </c>
      <c r="N421" s="1">
        <v>10</v>
      </c>
      <c r="O421" s="1">
        <v>68</v>
      </c>
      <c r="Q421" s="1">
        <f t="shared" si="20"/>
        <v>91.202499999999944</v>
      </c>
    </row>
    <row r="422" spans="1:17" x14ac:dyDescent="0.3">
      <c r="A422" s="1">
        <v>24</v>
      </c>
      <c r="B422" s="1">
        <v>94</v>
      </c>
      <c r="C422" s="1" t="s">
        <v>249</v>
      </c>
      <c r="D422" s="220">
        <v>146.69800000000001</v>
      </c>
      <c r="N422" s="1">
        <v>11</v>
      </c>
      <c r="O422" s="1">
        <v>68</v>
      </c>
      <c r="Q422" s="1">
        <f t="shared" si="20"/>
        <v>91.202499999999944</v>
      </c>
    </row>
    <row r="423" spans="1:17" ht="27.6" x14ac:dyDescent="0.3">
      <c r="A423" s="1">
        <v>25</v>
      </c>
      <c r="B423" s="1">
        <v>59</v>
      </c>
      <c r="C423" s="1" t="s">
        <v>250</v>
      </c>
      <c r="D423" s="220">
        <f>SQRT(D422)</f>
        <v>12.111894979729637</v>
      </c>
      <c r="N423" s="1">
        <v>12</v>
      </c>
      <c r="O423" s="1">
        <v>70</v>
      </c>
      <c r="Q423" s="1">
        <f t="shared" si="20"/>
        <v>57.002499999999955</v>
      </c>
    </row>
    <row r="424" spans="1:17" x14ac:dyDescent="0.3">
      <c r="A424" s="1">
        <v>26</v>
      </c>
      <c r="B424" s="1">
        <v>67</v>
      </c>
      <c r="N424" s="1">
        <v>13</v>
      </c>
      <c r="O424" s="1">
        <v>70</v>
      </c>
      <c r="Q424" s="1">
        <f t="shared" si="20"/>
        <v>57.002499999999955</v>
      </c>
    </row>
    <row r="425" spans="1:17" x14ac:dyDescent="0.3">
      <c r="A425" s="1">
        <v>27</v>
      </c>
      <c r="B425" s="1">
        <v>73</v>
      </c>
      <c r="N425" s="1">
        <v>14</v>
      </c>
      <c r="O425" s="1">
        <v>73</v>
      </c>
      <c r="Q425" s="1">
        <f t="shared" si="20"/>
        <v>20.702499999999976</v>
      </c>
    </row>
    <row r="426" spans="1:17" x14ac:dyDescent="0.3">
      <c r="A426" s="1">
        <v>28</v>
      </c>
      <c r="B426" s="1">
        <v>78</v>
      </c>
      <c r="C426" s="1">
        <f>D426-D423</f>
        <v>65.438105020270356</v>
      </c>
      <c r="D426" s="1">
        <v>77.55</v>
      </c>
      <c r="E426" s="1">
        <f>D426+D423</f>
        <v>89.661894979729638</v>
      </c>
      <c r="F426" s="1" t="s">
        <v>917</v>
      </c>
      <c r="G426" s="366">
        <v>0.68</v>
      </c>
      <c r="N426" s="1">
        <v>15</v>
      </c>
      <c r="O426" s="1">
        <v>73</v>
      </c>
      <c r="Q426" s="1">
        <f t="shared" si="20"/>
        <v>20.702499999999976</v>
      </c>
    </row>
    <row r="427" spans="1:17" x14ac:dyDescent="0.3">
      <c r="A427" s="1">
        <v>29</v>
      </c>
      <c r="B427" s="1">
        <v>82</v>
      </c>
      <c r="C427" s="1">
        <f>C426-D423</f>
        <v>53.326210040540715</v>
      </c>
      <c r="D427" s="1">
        <v>77.55</v>
      </c>
      <c r="E427" s="1">
        <f>E426+D423</f>
        <v>101.77378995945928</v>
      </c>
      <c r="F427" s="1" t="s">
        <v>918</v>
      </c>
      <c r="G427" s="366">
        <v>0.95</v>
      </c>
      <c r="N427" s="1">
        <v>16</v>
      </c>
      <c r="O427" s="1">
        <v>73</v>
      </c>
      <c r="Q427" s="1">
        <f t="shared" si="20"/>
        <v>20.702499999999976</v>
      </c>
    </row>
    <row r="428" spans="1:17" x14ac:dyDescent="0.3">
      <c r="A428" s="1">
        <v>30</v>
      </c>
      <c r="B428" s="1">
        <v>86</v>
      </c>
      <c r="C428" s="1">
        <f>C427-D423</f>
        <v>41.214315060811074</v>
      </c>
      <c r="D428" s="1">
        <v>77.55</v>
      </c>
      <c r="E428" s="1">
        <f>E427+D423</f>
        <v>113.88568493918892</v>
      </c>
      <c r="F428" s="1" t="s">
        <v>919</v>
      </c>
      <c r="G428" s="367">
        <v>0.997</v>
      </c>
      <c r="N428" s="1">
        <v>17</v>
      </c>
      <c r="O428" s="1">
        <v>75</v>
      </c>
      <c r="Q428" s="1">
        <f t="shared" si="20"/>
        <v>6.5024999999999853</v>
      </c>
    </row>
    <row r="429" spans="1:17" x14ac:dyDescent="0.3">
      <c r="A429" s="1">
        <v>31</v>
      </c>
      <c r="B429" s="1">
        <v>90</v>
      </c>
      <c r="N429" s="1">
        <v>18</v>
      </c>
      <c r="O429" s="1">
        <v>77</v>
      </c>
      <c r="Q429" s="1">
        <f t="shared" si="20"/>
        <v>0.30249999999999688</v>
      </c>
    </row>
    <row r="430" spans="1:17" x14ac:dyDescent="0.3">
      <c r="A430" s="1">
        <v>32</v>
      </c>
      <c r="B430" s="1">
        <v>95</v>
      </c>
      <c r="N430" s="1">
        <v>19</v>
      </c>
      <c r="O430" s="1">
        <v>78</v>
      </c>
      <c r="Q430" s="1">
        <f t="shared" si="20"/>
        <v>0.20250000000000257</v>
      </c>
    </row>
    <row r="431" spans="1:17" x14ac:dyDescent="0.3">
      <c r="A431" s="1">
        <v>33</v>
      </c>
      <c r="B431" s="1">
        <v>60</v>
      </c>
      <c r="N431" s="1">
        <v>20</v>
      </c>
      <c r="O431" s="1">
        <v>79</v>
      </c>
      <c r="Q431" s="1">
        <f t="shared" si="20"/>
        <v>2.102500000000008</v>
      </c>
    </row>
    <row r="432" spans="1:17" x14ac:dyDescent="0.3">
      <c r="A432" s="1">
        <v>34</v>
      </c>
      <c r="B432" s="1">
        <v>68</v>
      </c>
      <c r="N432" s="1">
        <v>21</v>
      </c>
      <c r="O432" s="1">
        <v>79</v>
      </c>
      <c r="Q432" s="1">
        <f t="shared" si="20"/>
        <v>2.102500000000008</v>
      </c>
    </row>
    <row r="433" spans="1:17" x14ac:dyDescent="0.3">
      <c r="A433" s="1">
        <v>35</v>
      </c>
      <c r="B433" s="1">
        <v>73</v>
      </c>
      <c r="N433" s="1">
        <v>22</v>
      </c>
      <c r="O433" s="1">
        <v>81</v>
      </c>
      <c r="Q433" s="1">
        <f t="shared" si="20"/>
        <v>11.902500000000019</v>
      </c>
    </row>
    <row r="434" spans="1:17" x14ac:dyDescent="0.3">
      <c r="A434" s="1">
        <v>36</v>
      </c>
      <c r="B434" s="1">
        <v>79</v>
      </c>
      <c r="N434" s="1">
        <v>23</v>
      </c>
      <c r="O434" s="1">
        <v>81</v>
      </c>
      <c r="Q434" s="1">
        <f t="shared" si="20"/>
        <v>11.902500000000019</v>
      </c>
    </row>
    <row r="435" spans="1:17" x14ac:dyDescent="0.3">
      <c r="A435" s="1">
        <v>37</v>
      </c>
      <c r="B435" s="1">
        <v>83</v>
      </c>
      <c r="N435" s="1">
        <v>24</v>
      </c>
      <c r="O435" s="1">
        <v>82</v>
      </c>
      <c r="Q435" s="1">
        <f t="shared" si="20"/>
        <v>19.802500000000027</v>
      </c>
    </row>
    <row r="436" spans="1:17" x14ac:dyDescent="0.3">
      <c r="A436" s="1">
        <v>38</v>
      </c>
      <c r="B436" s="1">
        <v>88</v>
      </c>
      <c r="N436" s="1">
        <v>25</v>
      </c>
      <c r="O436" s="1">
        <v>83</v>
      </c>
      <c r="Q436" s="1">
        <f t="shared" si="20"/>
        <v>29.702500000000033</v>
      </c>
    </row>
    <row r="437" spans="1:17" x14ac:dyDescent="0.3">
      <c r="A437" s="1">
        <v>39</v>
      </c>
      <c r="B437" s="1">
        <v>91</v>
      </c>
      <c r="N437" s="1">
        <v>26</v>
      </c>
      <c r="O437" s="1">
        <v>83</v>
      </c>
      <c r="Q437" s="1">
        <f t="shared" si="20"/>
        <v>29.702500000000033</v>
      </c>
    </row>
    <row r="438" spans="1:17" x14ac:dyDescent="0.3">
      <c r="A438" s="1">
        <v>40</v>
      </c>
      <c r="B438" s="1">
        <v>98</v>
      </c>
      <c r="N438" s="1">
        <v>27</v>
      </c>
      <c r="O438" s="1">
        <v>85</v>
      </c>
      <c r="Q438" s="1">
        <f t="shared" si="20"/>
        <v>55.50250000000004</v>
      </c>
    </row>
    <row r="439" spans="1:17" ht="14.4" thickBot="1" x14ac:dyDescent="0.35">
      <c r="N439" s="1">
        <v>28</v>
      </c>
      <c r="O439" s="1">
        <v>86</v>
      </c>
      <c r="Q439" s="1">
        <f t="shared" si="20"/>
        <v>71.402500000000046</v>
      </c>
    </row>
    <row r="440" spans="1:17" ht="18" thickBot="1" x14ac:dyDescent="0.35">
      <c r="A440" s="221" t="s">
        <v>100</v>
      </c>
      <c r="B440" s="222"/>
      <c r="C440" s="222"/>
      <c r="D440" s="222"/>
      <c r="E440" s="222"/>
      <c r="F440" s="222"/>
      <c r="G440" s="222"/>
      <c r="H440" s="227"/>
      <c r="N440" s="1">
        <v>29</v>
      </c>
      <c r="O440" s="1">
        <v>86</v>
      </c>
      <c r="Q440" s="1">
        <f t="shared" si="20"/>
        <v>71.402500000000046</v>
      </c>
    </row>
    <row r="441" spans="1:17" x14ac:dyDescent="0.3">
      <c r="A441" s="1" t="s">
        <v>102</v>
      </c>
      <c r="B441" s="1" t="s">
        <v>101</v>
      </c>
      <c r="N441" s="1">
        <v>30</v>
      </c>
      <c r="O441" s="1">
        <v>88</v>
      </c>
      <c r="Q441" s="1">
        <f t="shared" si="20"/>
        <v>109.20250000000006</v>
      </c>
    </row>
    <row r="442" spans="1:17" x14ac:dyDescent="0.3">
      <c r="A442" s="1">
        <v>1</v>
      </c>
      <c r="B442" s="1">
        <v>4.7</v>
      </c>
      <c r="C442" s="1" t="s">
        <v>103</v>
      </c>
      <c r="D442" s="1">
        <f>COUNTIF($B$442:$B$466,"&lt;3,5")</f>
        <v>5</v>
      </c>
      <c r="N442" s="1">
        <v>31</v>
      </c>
      <c r="O442" s="1">
        <v>89</v>
      </c>
      <c r="Q442" s="1">
        <f t="shared" si="20"/>
        <v>131.10250000000008</v>
      </c>
    </row>
    <row r="443" spans="1:17" x14ac:dyDescent="0.3">
      <c r="A443" s="1">
        <v>2</v>
      </c>
      <c r="B443" s="1">
        <v>4.4000000000000004</v>
      </c>
      <c r="C443" s="1" t="s">
        <v>104</v>
      </c>
      <c r="D443" s="1">
        <f>COUNTIF($B$442:$B$466,"&lt;4")-SUM(CK442)</f>
        <v>8</v>
      </c>
      <c r="N443" s="1">
        <v>32</v>
      </c>
      <c r="O443" s="1">
        <v>89</v>
      </c>
      <c r="Q443" s="1">
        <f t="shared" si="20"/>
        <v>131.10250000000008</v>
      </c>
    </row>
    <row r="444" spans="1:17" x14ac:dyDescent="0.3">
      <c r="A444" s="1">
        <v>3</v>
      </c>
      <c r="B444" s="1">
        <v>3.3</v>
      </c>
      <c r="C444" s="1" t="s">
        <v>105</v>
      </c>
      <c r="D444" s="1">
        <f>COUNTIF($B$442:$B$466,"&lt;4,5")-SUM(D442:D443)</f>
        <v>0</v>
      </c>
      <c r="N444" s="1">
        <v>33</v>
      </c>
      <c r="O444" s="1">
        <v>90</v>
      </c>
      <c r="Q444" s="1">
        <f t="shared" si="20"/>
        <v>155.00250000000008</v>
      </c>
    </row>
    <row r="445" spans="1:17" x14ac:dyDescent="0.3">
      <c r="A445" s="1">
        <v>4</v>
      </c>
      <c r="B445" s="1">
        <v>3</v>
      </c>
      <c r="C445" s="1" t="s">
        <v>106</v>
      </c>
      <c r="D445" s="1">
        <f>COUNTIF($B$442:$B$466,"&lt;5")-SUM(D442:D444)</f>
        <v>6</v>
      </c>
      <c r="J445" s="8"/>
      <c r="N445" s="1">
        <v>34</v>
      </c>
      <c r="O445" s="1">
        <v>90</v>
      </c>
      <c r="Q445" s="1">
        <f t="shared" si="20"/>
        <v>155.00250000000008</v>
      </c>
    </row>
    <row r="446" spans="1:17" x14ac:dyDescent="0.3">
      <c r="A446" s="1">
        <v>5</v>
      </c>
      <c r="B446" s="1">
        <v>4.0999999999999996</v>
      </c>
      <c r="C446" s="1" t="s">
        <v>107</v>
      </c>
      <c r="D446" s="1">
        <f>COUNTIF($B$442:$B$466,"&lt;5,5")-SUM(D442:D445)</f>
        <v>3</v>
      </c>
      <c r="J446" s="9"/>
      <c r="N446" s="1">
        <v>35</v>
      </c>
      <c r="O446" s="1">
        <v>91</v>
      </c>
      <c r="Q446" s="1">
        <f t="shared" si="20"/>
        <v>180.90250000000009</v>
      </c>
    </row>
    <row r="447" spans="1:17" x14ac:dyDescent="0.3">
      <c r="A447" s="1">
        <v>6</v>
      </c>
      <c r="B447" s="1">
        <v>4.7</v>
      </c>
      <c r="C447" s="1" t="s">
        <v>108</v>
      </c>
      <c r="D447" s="1">
        <f>COUNTIF($B$442:$B$466,"&lt;6")-SUM(D442:D446)</f>
        <v>1</v>
      </c>
      <c r="J447" s="9"/>
      <c r="N447" s="1">
        <v>36</v>
      </c>
      <c r="O447" s="1">
        <v>93</v>
      </c>
      <c r="Q447" s="1">
        <f t="shared" si="20"/>
        <v>238.7025000000001</v>
      </c>
    </row>
    <row r="448" spans="1:17" x14ac:dyDescent="0.3">
      <c r="A448" s="1">
        <v>7</v>
      </c>
      <c r="B448" s="1">
        <v>5</v>
      </c>
      <c r="C448" s="1" t="s">
        <v>109</v>
      </c>
      <c r="D448" s="1">
        <f>COUNTIF($B$442:$B$466,"&lt;6,5")-SUM(D442:D447)</f>
        <v>2</v>
      </c>
      <c r="I448" s="11"/>
      <c r="J448" s="9"/>
      <c r="N448" s="1">
        <v>37</v>
      </c>
      <c r="O448" s="1">
        <v>93</v>
      </c>
      <c r="Q448" s="1">
        <f t="shared" si="20"/>
        <v>238.7025000000001</v>
      </c>
    </row>
    <row r="449" spans="1:17" x14ac:dyDescent="0.3">
      <c r="A449" s="1">
        <v>8</v>
      </c>
      <c r="B449" s="1">
        <v>3.6</v>
      </c>
      <c r="C449" s="1" t="s">
        <v>98</v>
      </c>
      <c r="D449" s="1">
        <f>SUM(D442:D448)</f>
        <v>25</v>
      </c>
      <c r="I449" s="12"/>
      <c r="J449" s="9"/>
      <c r="N449" s="1">
        <v>38</v>
      </c>
      <c r="O449" s="1">
        <v>94</v>
      </c>
      <c r="Q449" s="1">
        <f t="shared" si="20"/>
        <v>270.60250000000008</v>
      </c>
    </row>
    <row r="450" spans="1:17" x14ac:dyDescent="0.3">
      <c r="A450" s="1">
        <v>9</v>
      </c>
      <c r="B450" s="1">
        <v>4.9000000000000004</v>
      </c>
      <c r="I450" s="12"/>
      <c r="J450" s="9"/>
      <c r="K450" s="11"/>
      <c r="L450" s="14"/>
      <c r="N450" s="1">
        <v>39</v>
      </c>
      <c r="O450" s="1">
        <v>95</v>
      </c>
      <c r="Q450" s="1">
        <f t="shared" si="20"/>
        <v>304.50250000000011</v>
      </c>
    </row>
    <row r="451" spans="1:17" x14ac:dyDescent="0.3">
      <c r="A451" s="1">
        <v>10</v>
      </c>
      <c r="B451" s="1">
        <v>6</v>
      </c>
      <c r="C451" s="225" t="s">
        <v>110</v>
      </c>
      <c r="D451" s="225"/>
      <c r="I451" s="12"/>
      <c r="J451" s="9"/>
      <c r="K451" s="12"/>
      <c r="L451" s="15"/>
      <c r="M451" s="11"/>
      <c r="N451" s="1">
        <v>40</v>
      </c>
      <c r="O451" s="1">
        <v>98</v>
      </c>
      <c r="Q451" s="1">
        <f t="shared" si="20"/>
        <v>418.2025000000001</v>
      </c>
    </row>
    <row r="452" spans="1:17" x14ac:dyDescent="0.3">
      <c r="A452" s="1">
        <v>11</v>
      </c>
      <c r="B452" s="1">
        <v>4</v>
      </c>
      <c r="C452" s="1" t="s">
        <v>103</v>
      </c>
      <c r="D452" s="1">
        <f>COUNTIF($B$442:$B$466,"&lt;3,5")</f>
        <v>5</v>
      </c>
      <c r="I452" s="13"/>
      <c r="J452" s="10"/>
      <c r="K452" s="13"/>
      <c r="L452" s="16"/>
      <c r="M452" s="13"/>
      <c r="N452" s="17"/>
      <c r="Q452" s="1">
        <f>AVERAGE(Q412:Q451)</f>
        <v>146.69750000000002</v>
      </c>
    </row>
    <row r="453" spans="1:17" x14ac:dyDescent="0.3">
      <c r="A453" s="1">
        <v>12</v>
      </c>
      <c r="B453" s="1">
        <v>3.3</v>
      </c>
      <c r="C453" s="1" t="s">
        <v>104</v>
      </c>
      <c r="D453" s="1">
        <f>COUNTIF($B$442:$B$466,"&lt;4")-SUM(CK451)</f>
        <v>8</v>
      </c>
      <c r="I453" s="1" t="s">
        <v>103</v>
      </c>
      <c r="J453" s="1" t="s">
        <v>104</v>
      </c>
      <c r="K453" s="228" t="s">
        <v>112</v>
      </c>
      <c r="L453" s="228"/>
      <c r="M453" s="228" t="s">
        <v>113</v>
      </c>
      <c r="N453" s="228"/>
    </row>
    <row r="454" spans="1:17" x14ac:dyDescent="0.3">
      <c r="A454" s="1">
        <v>13</v>
      </c>
      <c r="B454" s="1">
        <v>4.7</v>
      </c>
      <c r="C454" s="7" t="s">
        <v>112</v>
      </c>
      <c r="D454" s="1">
        <v>6</v>
      </c>
    </row>
    <row r="455" spans="1:17" x14ac:dyDescent="0.3">
      <c r="A455" s="1">
        <v>14</v>
      </c>
      <c r="B455" s="1">
        <v>5.2</v>
      </c>
      <c r="C455" s="1" t="s">
        <v>111</v>
      </c>
      <c r="D455" s="1">
        <v>6</v>
      </c>
    </row>
    <row r="456" spans="1:17" x14ac:dyDescent="0.3">
      <c r="A456" s="1">
        <v>15</v>
      </c>
      <c r="B456" s="1">
        <v>5.8</v>
      </c>
      <c r="C456" s="1" t="s">
        <v>98</v>
      </c>
      <c r="D456" s="1">
        <f>SUM(D452:D455)</f>
        <v>25</v>
      </c>
    </row>
    <row r="457" spans="1:17" x14ac:dyDescent="0.3">
      <c r="A457" s="1">
        <v>16</v>
      </c>
      <c r="B457" s="1">
        <v>4.7</v>
      </c>
    </row>
    <row r="458" spans="1:17" x14ac:dyDescent="0.3">
      <c r="A458" s="1">
        <v>17</v>
      </c>
      <c r="B458" s="1">
        <v>3.8</v>
      </c>
    </row>
    <row r="459" spans="1:17" x14ac:dyDescent="0.3">
      <c r="A459" s="1">
        <v>18</v>
      </c>
      <c r="B459" s="1">
        <v>4.4000000000000004</v>
      </c>
    </row>
    <row r="460" spans="1:17" x14ac:dyDescent="0.3">
      <c r="A460" s="1">
        <v>19</v>
      </c>
      <c r="B460" s="1">
        <v>4.2</v>
      </c>
    </row>
    <row r="461" spans="1:17" x14ac:dyDescent="0.3">
      <c r="A461" s="1">
        <v>20</v>
      </c>
      <c r="B461" s="1">
        <v>4.9000000000000004</v>
      </c>
    </row>
    <row r="462" spans="1:17" x14ac:dyDescent="0.3">
      <c r="A462" s="1">
        <v>21</v>
      </c>
      <c r="B462" s="1">
        <v>3</v>
      </c>
    </row>
    <row r="463" spans="1:17" x14ac:dyDescent="0.3">
      <c r="A463" s="1">
        <v>22</v>
      </c>
      <c r="B463" s="1">
        <v>6.4</v>
      </c>
    </row>
    <row r="464" spans="1:17" x14ac:dyDescent="0.3">
      <c r="A464" s="1">
        <v>23</v>
      </c>
      <c r="B464" s="1">
        <v>5.4</v>
      </c>
    </row>
    <row r="465" spans="1:8" x14ac:dyDescent="0.3">
      <c r="A465" s="1">
        <v>24</v>
      </c>
      <c r="B465" s="1">
        <v>3.3</v>
      </c>
    </row>
    <row r="466" spans="1:8" x14ac:dyDescent="0.3">
      <c r="A466" s="1">
        <v>25</v>
      </c>
      <c r="B466" s="1">
        <v>3.8</v>
      </c>
    </row>
    <row r="467" spans="1:8" ht="14.4" thickBot="1" x14ac:dyDescent="0.35"/>
    <row r="468" spans="1:8" ht="18" customHeight="1" thickBot="1" x14ac:dyDescent="0.35">
      <c r="A468" s="221" t="s">
        <v>174</v>
      </c>
      <c r="B468" s="222"/>
      <c r="C468" s="222"/>
      <c r="D468" s="222"/>
      <c r="E468" s="222"/>
      <c r="F468" s="222"/>
      <c r="G468" s="222"/>
      <c r="H468" s="227"/>
    </row>
    <row r="469" spans="1:8" ht="55.95" customHeight="1" x14ac:dyDescent="0.3">
      <c r="A469" s="1" t="s">
        <v>175</v>
      </c>
      <c r="B469" s="1" t="s">
        <v>176</v>
      </c>
      <c r="C469" s="226" t="s">
        <v>177</v>
      </c>
      <c r="D469" s="226"/>
      <c r="E469" s="1" t="s">
        <v>178</v>
      </c>
      <c r="F469" s="1" t="s">
        <v>136</v>
      </c>
      <c r="G469" s="1" t="s">
        <v>137</v>
      </c>
      <c r="H469" s="1" t="s">
        <v>154</v>
      </c>
    </row>
    <row r="470" spans="1:8" ht="13.95" customHeight="1" x14ac:dyDescent="0.3">
      <c r="A470" s="1">
        <v>1</v>
      </c>
      <c r="B470" s="1">
        <v>19.2</v>
      </c>
      <c r="C470" s="225" t="s">
        <v>186</v>
      </c>
      <c r="D470" s="225"/>
      <c r="E470" s="1">
        <f>F470</f>
        <v>0</v>
      </c>
      <c r="F470" s="1">
        <f>COUNTIF($B$470:$B$519,"&lt;5")</f>
        <v>0</v>
      </c>
      <c r="G470" s="1">
        <f>E470/$E$478</f>
        <v>0</v>
      </c>
      <c r="H470" s="1">
        <f>F470/$F$477</f>
        <v>0</v>
      </c>
    </row>
    <row r="471" spans="1:8" ht="13.95" customHeight="1" x14ac:dyDescent="0.3">
      <c r="A471" s="1">
        <v>2</v>
      </c>
      <c r="B471" s="1">
        <v>26.2</v>
      </c>
      <c r="C471" s="230" t="s">
        <v>179</v>
      </c>
      <c r="D471" s="225"/>
      <c r="E471" s="1">
        <f>F471-F470</f>
        <v>2</v>
      </c>
      <c r="F471" s="1">
        <f>COUNTIF($B$470:$B$519,"&lt;10")</f>
        <v>2</v>
      </c>
      <c r="G471" s="1">
        <f t="shared" ref="G471:G477" si="21">E471/$E$478</f>
        <v>0.04</v>
      </c>
      <c r="H471" s="1">
        <f t="shared" ref="H471:H477" si="22">F471/$F$477</f>
        <v>0.04</v>
      </c>
    </row>
    <row r="472" spans="1:8" ht="13.95" customHeight="1" x14ac:dyDescent="0.3">
      <c r="A472" s="1">
        <v>3</v>
      </c>
      <c r="B472" s="1">
        <v>13.8</v>
      </c>
      <c r="C472" s="225" t="s">
        <v>180</v>
      </c>
      <c r="D472" s="225"/>
      <c r="E472" s="1">
        <f t="shared" ref="E472:E477" si="23">F472-F471</f>
        <v>16</v>
      </c>
      <c r="F472" s="1">
        <f>COUNTIF($B$470:$B$519,"&lt;15")</f>
        <v>18</v>
      </c>
      <c r="G472" s="1">
        <f t="shared" si="21"/>
        <v>0.32</v>
      </c>
      <c r="H472" s="1">
        <f t="shared" si="22"/>
        <v>0.36</v>
      </c>
    </row>
    <row r="473" spans="1:8" ht="13.95" customHeight="1" x14ac:dyDescent="0.3">
      <c r="A473" s="1">
        <v>4</v>
      </c>
      <c r="B473" s="1">
        <v>15</v>
      </c>
      <c r="C473" s="225" t="s">
        <v>181</v>
      </c>
      <c r="D473" s="225"/>
      <c r="E473" s="1">
        <f t="shared" si="23"/>
        <v>9</v>
      </c>
      <c r="F473" s="1">
        <f>COUNTIF($B$470:$B$519,"&lt;20")</f>
        <v>27</v>
      </c>
      <c r="G473" s="1">
        <f t="shared" si="21"/>
        <v>0.18</v>
      </c>
      <c r="H473" s="1">
        <f t="shared" si="22"/>
        <v>0.54</v>
      </c>
    </row>
    <row r="474" spans="1:8" ht="13.95" customHeight="1" x14ac:dyDescent="0.3">
      <c r="A474" s="1">
        <v>5</v>
      </c>
      <c r="B474" s="1">
        <v>23.7</v>
      </c>
      <c r="C474" s="225" t="s">
        <v>182</v>
      </c>
      <c r="D474" s="225"/>
      <c r="E474" s="1">
        <f t="shared" si="23"/>
        <v>11</v>
      </c>
      <c r="F474" s="1">
        <f>COUNTIF($B$470:$B$519,"&lt;25")</f>
        <v>38</v>
      </c>
      <c r="G474" s="1">
        <f t="shared" si="21"/>
        <v>0.22</v>
      </c>
      <c r="H474" s="1">
        <f t="shared" si="22"/>
        <v>0.76</v>
      </c>
    </row>
    <row r="475" spans="1:8" ht="13.95" customHeight="1" x14ac:dyDescent="0.3">
      <c r="A475" s="1">
        <v>6</v>
      </c>
      <c r="B475" s="1">
        <v>15.2</v>
      </c>
      <c r="C475" s="225" t="s">
        <v>183</v>
      </c>
      <c r="D475" s="225"/>
      <c r="E475" s="1">
        <f t="shared" si="23"/>
        <v>5</v>
      </c>
      <c r="F475" s="1">
        <f>COUNTIF($B$470:$B$519,"&lt;30")</f>
        <v>43</v>
      </c>
      <c r="G475" s="1">
        <f t="shared" si="21"/>
        <v>0.1</v>
      </c>
      <c r="H475" s="1">
        <f t="shared" si="22"/>
        <v>0.86</v>
      </c>
    </row>
    <row r="476" spans="1:8" ht="13.95" customHeight="1" x14ac:dyDescent="0.3">
      <c r="A476" s="1">
        <v>7</v>
      </c>
      <c r="B476" s="1">
        <v>21.9</v>
      </c>
      <c r="C476" s="225" t="s">
        <v>184</v>
      </c>
      <c r="D476" s="225"/>
      <c r="E476" s="1">
        <f t="shared" si="23"/>
        <v>5</v>
      </c>
      <c r="F476" s="1">
        <f>COUNTIF($B$470:$B$519,"&lt;35")</f>
        <v>48</v>
      </c>
      <c r="G476" s="1">
        <f t="shared" si="21"/>
        <v>0.1</v>
      </c>
      <c r="H476" s="1">
        <f t="shared" si="22"/>
        <v>0.96</v>
      </c>
    </row>
    <row r="477" spans="1:8" ht="13.95" customHeight="1" x14ac:dyDescent="0.3">
      <c r="A477" s="1">
        <v>8</v>
      </c>
      <c r="B477" s="1">
        <v>21.7</v>
      </c>
      <c r="C477" s="225" t="s">
        <v>185</v>
      </c>
      <c r="D477" s="225"/>
      <c r="E477" s="1">
        <f t="shared" si="23"/>
        <v>2</v>
      </c>
      <c r="F477" s="1">
        <f>COUNTIF($B$470:$B$519,"&lt;40")</f>
        <v>50</v>
      </c>
      <c r="G477" s="1">
        <f t="shared" si="21"/>
        <v>0.04</v>
      </c>
      <c r="H477" s="1">
        <f t="shared" si="22"/>
        <v>1</v>
      </c>
    </row>
    <row r="478" spans="1:8" ht="13.95" customHeight="1" x14ac:dyDescent="0.3">
      <c r="A478" s="1">
        <v>9</v>
      </c>
      <c r="B478" s="1">
        <v>11.7</v>
      </c>
      <c r="D478" s="1" t="s">
        <v>98</v>
      </c>
      <c r="E478" s="1">
        <f>SUM(E470:E477)</f>
        <v>50</v>
      </c>
      <c r="G478" s="1">
        <f>SUM(G470:G477)</f>
        <v>1</v>
      </c>
    </row>
    <row r="479" spans="1:8" ht="13.95" customHeight="1" x14ac:dyDescent="0.3">
      <c r="A479" s="1">
        <v>10</v>
      </c>
      <c r="B479" s="1">
        <v>13.6</v>
      </c>
    </row>
    <row r="480" spans="1:8" ht="13.95" customHeight="1" x14ac:dyDescent="0.3">
      <c r="A480" s="1">
        <v>11</v>
      </c>
      <c r="B480" s="1">
        <v>32.1</v>
      </c>
      <c r="C480" s="225"/>
      <c r="D480" s="225"/>
      <c r="E480" s="225"/>
    </row>
    <row r="481" spans="1:2" ht="13.95" customHeight="1" x14ac:dyDescent="0.3">
      <c r="A481" s="1">
        <v>12</v>
      </c>
      <c r="B481" s="1">
        <v>14.3</v>
      </c>
    </row>
    <row r="482" spans="1:2" ht="13.95" customHeight="1" x14ac:dyDescent="0.3">
      <c r="A482" s="1">
        <v>13</v>
      </c>
      <c r="B482" s="1">
        <v>31.5</v>
      </c>
    </row>
    <row r="483" spans="1:2" ht="13.95" customHeight="1" x14ac:dyDescent="0.3">
      <c r="A483" s="1">
        <v>14</v>
      </c>
      <c r="B483" s="1">
        <v>29.3</v>
      </c>
    </row>
    <row r="484" spans="1:2" ht="13.95" customHeight="1" x14ac:dyDescent="0.3">
      <c r="A484" s="1">
        <v>15</v>
      </c>
      <c r="B484" s="1">
        <v>19.2</v>
      </c>
    </row>
    <row r="485" spans="1:2" ht="13.95" customHeight="1" x14ac:dyDescent="0.3">
      <c r="A485" s="1">
        <v>16</v>
      </c>
      <c r="B485" s="1">
        <v>12.8</v>
      </c>
    </row>
    <row r="486" spans="1:2" ht="13.95" customHeight="1" x14ac:dyDescent="0.3">
      <c r="A486" s="1">
        <v>17</v>
      </c>
      <c r="B486" s="1">
        <v>22.4</v>
      </c>
    </row>
    <row r="487" spans="1:2" ht="13.95" customHeight="1" x14ac:dyDescent="0.3">
      <c r="A487" s="1">
        <v>18</v>
      </c>
      <c r="B487" s="1">
        <v>16</v>
      </c>
    </row>
    <row r="488" spans="1:2" ht="13.95" customHeight="1" x14ac:dyDescent="0.3">
      <c r="A488" s="1">
        <v>19</v>
      </c>
      <c r="B488" s="1">
        <v>18.3</v>
      </c>
    </row>
    <row r="489" spans="1:2" ht="13.95" customHeight="1" x14ac:dyDescent="0.3">
      <c r="A489" s="1">
        <v>20</v>
      </c>
      <c r="B489" s="1">
        <v>21</v>
      </c>
    </row>
    <row r="490" spans="1:2" ht="13.95" customHeight="1" x14ac:dyDescent="0.3">
      <c r="A490" s="1">
        <v>21</v>
      </c>
      <c r="B490" s="1">
        <v>24.4</v>
      </c>
    </row>
    <row r="491" spans="1:2" ht="13.95" customHeight="1" x14ac:dyDescent="0.3">
      <c r="A491" s="1">
        <v>22</v>
      </c>
      <c r="B491" s="1">
        <v>34.6</v>
      </c>
    </row>
    <row r="492" spans="1:2" ht="13.95" customHeight="1" x14ac:dyDescent="0.3">
      <c r="A492" s="1">
        <v>23</v>
      </c>
      <c r="B492" s="1">
        <v>24.4</v>
      </c>
    </row>
    <row r="493" spans="1:2" ht="13.95" customHeight="1" x14ac:dyDescent="0.3">
      <c r="A493" s="1">
        <v>24</v>
      </c>
      <c r="B493" s="1">
        <v>12.4</v>
      </c>
    </row>
    <row r="494" spans="1:2" ht="13.95" customHeight="1" x14ac:dyDescent="0.3">
      <c r="A494" s="1">
        <v>25</v>
      </c>
      <c r="B494" s="1">
        <v>30</v>
      </c>
    </row>
    <row r="495" spans="1:2" ht="13.95" customHeight="1" x14ac:dyDescent="0.3">
      <c r="A495" s="1">
        <v>26</v>
      </c>
      <c r="B495" s="1">
        <v>24.1</v>
      </c>
    </row>
    <row r="496" spans="1:2" ht="13.95" customHeight="1" x14ac:dyDescent="0.3">
      <c r="A496" s="1">
        <v>27</v>
      </c>
      <c r="B496" s="1">
        <v>15.3</v>
      </c>
    </row>
    <row r="497" spans="1:2" ht="13.95" customHeight="1" x14ac:dyDescent="0.3">
      <c r="A497" s="1">
        <v>28</v>
      </c>
      <c r="B497" s="1">
        <v>22.9</v>
      </c>
    </row>
    <row r="498" spans="1:2" ht="13.95" customHeight="1" x14ac:dyDescent="0.3">
      <c r="A498" s="1">
        <v>29</v>
      </c>
      <c r="B498" s="1">
        <v>13.3</v>
      </c>
    </row>
    <row r="499" spans="1:2" ht="13.95" customHeight="1" x14ac:dyDescent="0.3">
      <c r="A499" s="1">
        <v>30</v>
      </c>
      <c r="B499" s="1">
        <v>23</v>
      </c>
    </row>
    <row r="500" spans="1:2" ht="13.95" customHeight="1" x14ac:dyDescent="0.3">
      <c r="A500" s="1">
        <v>31</v>
      </c>
      <c r="B500" s="1">
        <v>12.1</v>
      </c>
    </row>
    <row r="501" spans="1:2" ht="13.95" customHeight="1" x14ac:dyDescent="0.3">
      <c r="A501" s="1">
        <v>32</v>
      </c>
      <c r="B501" s="1">
        <v>39.200000000000003</v>
      </c>
    </row>
    <row r="502" spans="1:2" ht="13.95" customHeight="1" x14ac:dyDescent="0.3">
      <c r="A502" s="1">
        <v>33</v>
      </c>
      <c r="B502" s="1">
        <v>6.5</v>
      </c>
    </row>
    <row r="503" spans="1:2" ht="13.95" customHeight="1" x14ac:dyDescent="0.3">
      <c r="A503" s="1">
        <v>34</v>
      </c>
      <c r="B503" s="1">
        <v>14.3</v>
      </c>
    </row>
    <row r="504" spans="1:2" ht="13.95" customHeight="1" x14ac:dyDescent="0.3">
      <c r="A504" s="1">
        <v>35</v>
      </c>
      <c r="B504" s="1">
        <v>29.5</v>
      </c>
    </row>
    <row r="505" spans="1:2" ht="13.95" customHeight="1" x14ac:dyDescent="0.3">
      <c r="A505" s="1">
        <v>36</v>
      </c>
      <c r="B505" s="1">
        <v>13.5</v>
      </c>
    </row>
    <row r="506" spans="1:2" ht="13.95" customHeight="1" x14ac:dyDescent="0.3">
      <c r="A506" s="1">
        <v>37</v>
      </c>
      <c r="B506" s="1">
        <v>23.1</v>
      </c>
    </row>
    <row r="507" spans="1:2" ht="13.95" customHeight="1" x14ac:dyDescent="0.3">
      <c r="A507" s="1">
        <v>38</v>
      </c>
      <c r="B507" s="1">
        <v>34.200000000000003</v>
      </c>
    </row>
    <row r="508" spans="1:2" ht="13.95" customHeight="1" x14ac:dyDescent="0.3">
      <c r="A508" s="1">
        <v>39</v>
      </c>
      <c r="B508" s="1">
        <v>27.1</v>
      </c>
    </row>
    <row r="509" spans="1:2" ht="13.95" customHeight="1" x14ac:dyDescent="0.3">
      <c r="A509" s="1">
        <v>40</v>
      </c>
      <c r="B509" s="1">
        <v>6.7</v>
      </c>
    </row>
    <row r="510" spans="1:2" ht="13.95" customHeight="1" x14ac:dyDescent="0.3">
      <c r="A510" s="1">
        <v>41</v>
      </c>
      <c r="B510" s="1">
        <v>10.3</v>
      </c>
    </row>
    <row r="511" spans="1:2" ht="13.95" customHeight="1" x14ac:dyDescent="0.3">
      <c r="A511" s="1">
        <v>42</v>
      </c>
      <c r="B511" s="1">
        <v>17.7</v>
      </c>
    </row>
    <row r="512" spans="1:2" ht="13.95" customHeight="1" x14ac:dyDescent="0.3">
      <c r="A512" s="1">
        <v>43</v>
      </c>
      <c r="B512" s="1">
        <v>11</v>
      </c>
    </row>
    <row r="513" spans="1:8" ht="13.95" customHeight="1" x14ac:dyDescent="0.3">
      <c r="A513" s="1">
        <v>44</v>
      </c>
      <c r="B513" s="1">
        <v>13</v>
      </c>
    </row>
    <row r="514" spans="1:8" ht="13.95" customHeight="1" x14ac:dyDescent="0.3">
      <c r="A514" s="1">
        <v>45</v>
      </c>
      <c r="B514" s="1">
        <v>17.5</v>
      </c>
    </row>
    <row r="515" spans="1:8" ht="13.95" customHeight="1" x14ac:dyDescent="0.3">
      <c r="A515" s="1">
        <v>46</v>
      </c>
      <c r="B515" s="1">
        <v>12.7</v>
      </c>
    </row>
    <row r="516" spans="1:8" ht="13.95" customHeight="1" x14ac:dyDescent="0.3">
      <c r="A516" s="1">
        <v>47</v>
      </c>
      <c r="B516" s="1">
        <v>13.1</v>
      </c>
    </row>
    <row r="517" spans="1:8" ht="13.95" customHeight="1" x14ac:dyDescent="0.3">
      <c r="A517" s="1">
        <v>48</v>
      </c>
      <c r="B517" s="1">
        <v>36.799999999999997</v>
      </c>
    </row>
    <row r="518" spans="1:8" ht="13.95" customHeight="1" x14ac:dyDescent="0.3">
      <c r="A518" s="1">
        <v>49</v>
      </c>
      <c r="B518" s="1">
        <v>27.8</v>
      </c>
    </row>
    <row r="519" spans="1:8" ht="13.95" customHeight="1" x14ac:dyDescent="0.3">
      <c r="A519" s="1">
        <v>50</v>
      </c>
      <c r="B519" s="1">
        <v>14.9</v>
      </c>
    </row>
    <row r="520" spans="1:8" ht="13.95" customHeight="1" thickBot="1" x14ac:dyDescent="0.35"/>
    <row r="521" spans="1:8" ht="18" thickBot="1" x14ac:dyDescent="0.35">
      <c r="A521" s="221" t="s">
        <v>114</v>
      </c>
      <c r="B521" s="222"/>
      <c r="C521" s="222"/>
      <c r="D521" s="222"/>
      <c r="E521" s="222"/>
      <c r="F521" s="222"/>
      <c r="G521" s="222"/>
      <c r="H521" s="227"/>
    </row>
    <row r="522" spans="1:8" ht="27.6" x14ac:dyDescent="0.3">
      <c r="A522" s="1" t="s">
        <v>36</v>
      </c>
      <c r="B522" s="1" t="s">
        <v>99</v>
      </c>
      <c r="C522" s="1" t="s">
        <v>118</v>
      </c>
    </row>
    <row r="523" spans="1:8" x14ac:dyDescent="0.3">
      <c r="A523" s="1" t="s">
        <v>116</v>
      </c>
      <c r="B523" s="1" t="s">
        <v>117</v>
      </c>
      <c r="C523" s="1" t="s">
        <v>115</v>
      </c>
    </row>
    <row r="524" spans="1:8" ht="14.4" customHeight="1" x14ac:dyDescent="0.3">
      <c r="A524" s="1">
        <v>1</v>
      </c>
      <c r="B524" s="1">
        <v>1</v>
      </c>
      <c r="C524" s="1">
        <f>A524*B524</f>
        <v>1</v>
      </c>
      <c r="D524" s="1">
        <f>B524*(A524-$C$530)^2</f>
        <v>5.640625</v>
      </c>
      <c r="E524" s="225" t="s">
        <v>120</v>
      </c>
      <c r="F524" s="225"/>
      <c r="G524" s="2">
        <f>D529/B529</f>
        <v>1.0843750000000001</v>
      </c>
    </row>
    <row r="525" spans="1:8" ht="14.4" customHeight="1" x14ac:dyDescent="0.3">
      <c r="A525" s="1">
        <v>2</v>
      </c>
      <c r="B525" s="1">
        <v>7</v>
      </c>
      <c r="C525" s="1">
        <f>A525*B525</f>
        <v>14</v>
      </c>
      <c r="D525" s="1">
        <f>B525*(A525-$C$530)^2</f>
        <v>13.234375</v>
      </c>
      <c r="E525" s="225" t="s">
        <v>121</v>
      </c>
      <c r="F525" s="225"/>
      <c r="G525" s="229">
        <f>SQRT(G524)</f>
        <v>1.0413332799829265</v>
      </c>
    </row>
    <row r="526" spans="1:8" x14ac:dyDescent="0.3">
      <c r="A526" s="1">
        <v>3</v>
      </c>
      <c r="B526" s="1">
        <v>15</v>
      </c>
      <c r="C526" s="1">
        <f>A526*B526</f>
        <v>45</v>
      </c>
      <c r="D526" s="1">
        <f>B526*(A526-$C$530)^2</f>
        <v>2.109375</v>
      </c>
      <c r="E526" s="225"/>
      <c r="F526" s="225"/>
      <c r="G526" s="229"/>
    </row>
    <row r="527" spans="1:8" x14ac:dyDescent="0.3">
      <c r="A527" s="1">
        <v>4</v>
      </c>
      <c r="B527" s="1">
        <v>10</v>
      </c>
      <c r="C527" s="1">
        <f>A527*B527</f>
        <v>40</v>
      </c>
      <c r="D527" s="1">
        <f>B527*(A527-$C$530)^2</f>
        <v>3.90625</v>
      </c>
    </row>
    <row r="528" spans="1:8" x14ac:dyDescent="0.3">
      <c r="A528" s="1">
        <v>5</v>
      </c>
      <c r="B528" s="1">
        <v>7</v>
      </c>
      <c r="C528" s="1">
        <f>A528*B528</f>
        <v>35</v>
      </c>
      <c r="D528" s="1">
        <f>B528*(A528-$C$530)^2</f>
        <v>18.484375</v>
      </c>
    </row>
    <row r="529" spans="1:8" x14ac:dyDescent="0.3">
      <c r="A529" s="1" t="s">
        <v>98</v>
      </c>
      <c r="B529" s="1">
        <f>SUM(B524:B528)</f>
        <v>40</v>
      </c>
      <c r="C529" s="1">
        <f>SUM(C524:C528)</f>
        <v>135</v>
      </c>
      <c r="D529" s="1">
        <f>SUM(D524:D528)</f>
        <v>43.375</v>
      </c>
    </row>
    <row r="530" spans="1:8" x14ac:dyDescent="0.3">
      <c r="A530" s="1" t="s">
        <v>3</v>
      </c>
      <c r="C530" s="1">
        <f>C529/B529</f>
        <v>3.375</v>
      </c>
    </row>
    <row r="531" spans="1:8" x14ac:dyDescent="0.3">
      <c r="A531" s="1" t="s">
        <v>53</v>
      </c>
      <c r="B531" s="2">
        <v>3.375</v>
      </c>
    </row>
    <row r="532" spans="1:8" ht="14.4" customHeight="1" x14ac:dyDescent="0.3">
      <c r="A532" s="1" t="s">
        <v>54</v>
      </c>
      <c r="B532" s="2">
        <v>3</v>
      </c>
      <c r="C532" s="225" t="s">
        <v>122</v>
      </c>
      <c r="D532" s="225"/>
    </row>
    <row r="533" spans="1:8" ht="13.95" customHeight="1" x14ac:dyDescent="0.3">
      <c r="A533" s="1" t="s">
        <v>55</v>
      </c>
      <c r="B533" s="2">
        <v>3</v>
      </c>
      <c r="C533" s="225" t="s">
        <v>119</v>
      </c>
      <c r="D533" s="225"/>
    </row>
    <row r="534" spans="1:8" x14ac:dyDescent="0.3">
      <c r="A534" s="1" t="s">
        <v>56</v>
      </c>
      <c r="B534" s="2">
        <f>G524</f>
        <v>1.0843750000000001</v>
      </c>
      <c r="C534" s="1">
        <f>G525</f>
        <v>1.0413332799829265</v>
      </c>
    </row>
    <row r="535" spans="1:8" ht="14.4" thickBot="1" x14ac:dyDescent="0.35"/>
    <row r="536" spans="1:8" ht="18" thickBot="1" x14ac:dyDescent="0.35">
      <c r="A536" s="221" t="s">
        <v>123</v>
      </c>
      <c r="B536" s="222"/>
      <c r="C536" s="222"/>
      <c r="D536" s="222"/>
      <c r="E536" s="222"/>
      <c r="F536" s="222"/>
      <c r="G536" s="222"/>
      <c r="H536" s="227"/>
    </row>
    <row r="537" spans="1:8" ht="67.95" customHeight="1" x14ac:dyDescent="0.3">
      <c r="A537" s="1" t="s">
        <v>91</v>
      </c>
      <c r="B537" s="1" t="s">
        <v>92</v>
      </c>
      <c r="C537" s="1" t="s">
        <v>124</v>
      </c>
      <c r="D537" s="1" t="s">
        <v>36</v>
      </c>
      <c r="E537" s="1" t="s">
        <v>99</v>
      </c>
      <c r="F537" s="1" t="s">
        <v>758</v>
      </c>
      <c r="G537" s="1" t="s">
        <v>759</v>
      </c>
      <c r="H537" s="1" t="s">
        <v>760</v>
      </c>
    </row>
    <row r="538" spans="1:8" x14ac:dyDescent="0.3">
      <c r="D538" s="1" t="s">
        <v>93</v>
      </c>
      <c r="E538" s="1">
        <v>4</v>
      </c>
      <c r="F538" s="1">
        <f>(50+59)/2</f>
        <v>54.5</v>
      </c>
      <c r="G538" s="1">
        <f>E538*F538</f>
        <v>218</v>
      </c>
      <c r="H538" s="1">
        <f>E538*(F538-$G$543)^2</f>
        <v>2116</v>
      </c>
    </row>
    <row r="539" spans="1:8" x14ac:dyDescent="0.3">
      <c r="A539" s="1">
        <v>1</v>
      </c>
      <c r="B539" s="1">
        <v>54</v>
      </c>
      <c r="C539" s="1">
        <f>(B539-$B$580)^2</f>
        <v>554.60249999999985</v>
      </c>
      <c r="D539" s="1" t="s">
        <v>94</v>
      </c>
      <c r="E539" s="1">
        <v>7</v>
      </c>
      <c r="F539" s="1">
        <f>F538+10</f>
        <v>64.5</v>
      </c>
      <c r="G539" s="1">
        <f t="shared" ref="G539:G542" si="24">E539*F539</f>
        <v>451.5</v>
      </c>
      <c r="H539" s="1">
        <f t="shared" ref="H539:H542" si="25">E539*(F539-$G$543)^2</f>
        <v>1183</v>
      </c>
    </row>
    <row r="540" spans="1:8" x14ac:dyDescent="0.3">
      <c r="A540" s="1">
        <v>2</v>
      </c>
      <c r="B540" s="1">
        <v>62</v>
      </c>
      <c r="C540" s="1">
        <f t="shared" ref="C540:C578" si="26">(B540-$B$580)^2</f>
        <v>241.80249999999992</v>
      </c>
      <c r="D540" s="1" t="s">
        <v>95</v>
      </c>
      <c r="E540" s="1">
        <v>10</v>
      </c>
      <c r="F540" s="1">
        <f t="shared" ref="F540:F542" si="27">F539+10</f>
        <v>74.5</v>
      </c>
      <c r="G540" s="1">
        <f t="shared" si="24"/>
        <v>745</v>
      </c>
      <c r="H540" s="1">
        <f t="shared" si="25"/>
        <v>90</v>
      </c>
    </row>
    <row r="541" spans="1:8" x14ac:dyDescent="0.3">
      <c r="A541" s="1">
        <v>3</v>
      </c>
      <c r="B541" s="1">
        <v>68</v>
      </c>
      <c r="C541" s="1">
        <f t="shared" si="26"/>
        <v>91.202499999999944</v>
      </c>
      <c r="D541" s="1" t="s">
        <v>96</v>
      </c>
      <c r="E541" s="1">
        <v>11</v>
      </c>
      <c r="F541" s="1">
        <f t="shared" si="27"/>
        <v>84.5</v>
      </c>
      <c r="G541" s="1">
        <f t="shared" si="24"/>
        <v>929.5</v>
      </c>
      <c r="H541" s="1">
        <f t="shared" si="25"/>
        <v>539</v>
      </c>
    </row>
    <row r="542" spans="1:8" x14ac:dyDescent="0.3">
      <c r="A542" s="1">
        <v>4</v>
      </c>
      <c r="B542" s="1">
        <v>73</v>
      </c>
      <c r="C542" s="1">
        <f t="shared" si="26"/>
        <v>20.702499999999976</v>
      </c>
      <c r="D542" s="1" t="s">
        <v>97</v>
      </c>
      <c r="E542" s="1">
        <v>8</v>
      </c>
      <c r="F542" s="1">
        <f t="shared" si="27"/>
        <v>94.5</v>
      </c>
      <c r="G542" s="1">
        <f t="shared" si="24"/>
        <v>756</v>
      </c>
      <c r="H542" s="1">
        <f t="shared" si="25"/>
        <v>2312</v>
      </c>
    </row>
    <row r="543" spans="1:8" x14ac:dyDescent="0.3">
      <c r="A543" s="1">
        <v>5</v>
      </c>
      <c r="B543" s="1">
        <v>79</v>
      </c>
      <c r="C543" s="1">
        <f t="shared" si="26"/>
        <v>2.102500000000008</v>
      </c>
      <c r="D543" s="1" t="s">
        <v>98</v>
      </c>
      <c r="E543" s="1">
        <v>40</v>
      </c>
      <c r="F543" s="1" t="s">
        <v>761</v>
      </c>
      <c r="G543" s="193">
        <f>SUM(G538:G542)/E543</f>
        <v>77.5</v>
      </c>
      <c r="H543" s="1">
        <f>SUM(H538:H542)/E543</f>
        <v>156</v>
      </c>
    </row>
    <row r="544" spans="1:8" ht="14.4" customHeight="1" x14ac:dyDescent="0.3">
      <c r="A544" s="1">
        <v>6</v>
      </c>
      <c r="B544" s="1">
        <v>83</v>
      </c>
      <c r="C544" s="1">
        <f t="shared" si="26"/>
        <v>29.702500000000033</v>
      </c>
      <c r="F544" s="1" t="s">
        <v>762</v>
      </c>
      <c r="H544" s="193">
        <f>SQRT(H543)</f>
        <v>12.489995996796797</v>
      </c>
    </row>
    <row r="545" spans="1:7" x14ac:dyDescent="0.3">
      <c r="A545" s="1">
        <v>7</v>
      </c>
      <c r="B545" s="1">
        <v>89</v>
      </c>
      <c r="C545" s="1">
        <f t="shared" si="26"/>
        <v>131.10250000000008</v>
      </c>
      <c r="F545" s="1" t="s">
        <v>763</v>
      </c>
      <c r="G545" s="193">
        <v>78.5</v>
      </c>
    </row>
    <row r="546" spans="1:7" x14ac:dyDescent="0.3">
      <c r="A546" s="1">
        <v>8</v>
      </c>
      <c r="B546" s="1">
        <v>93</v>
      </c>
      <c r="C546" s="1">
        <f t="shared" si="26"/>
        <v>238.7025000000001</v>
      </c>
      <c r="F546" s="1" t="s">
        <v>764</v>
      </c>
      <c r="G546" s="193">
        <f>F541-F539</f>
        <v>20</v>
      </c>
    </row>
    <row r="547" spans="1:7" x14ac:dyDescent="0.3">
      <c r="A547" s="1">
        <v>9</v>
      </c>
      <c r="B547" s="1">
        <v>56</v>
      </c>
      <c r="C547" s="1">
        <f t="shared" si="26"/>
        <v>464.40249999999986</v>
      </c>
    </row>
    <row r="548" spans="1:7" x14ac:dyDescent="0.3">
      <c r="A548" s="1">
        <v>10</v>
      </c>
      <c r="B548" s="1">
        <v>62</v>
      </c>
      <c r="C548" s="1">
        <f t="shared" si="26"/>
        <v>241.80249999999992</v>
      </c>
      <c r="F548" s="1" t="s">
        <v>53</v>
      </c>
      <c r="G548" s="1" t="s">
        <v>54</v>
      </c>
    </row>
    <row r="549" spans="1:7" x14ac:dyDescent="0.3">
      <c r="A549" s="1">
        <v>11</v>
      </c>
      <c r="B549" s="1">
        <v>70</v>
      </c>
      <c r="C549" s="1">
        <f t="shared" si="26"/>
        <v>57.002499999999955</v>
      </c>
      <c r="E549" s="1" t="s">
        <v>414</v>
      </c>
      <c r="F549" s="193">
        <f>B580</f>
        <v>77.55</v>
      </c>
      <c r="G549" s="193">
        <f>G543</f>
        <v>77.5</v>
      </c>
    </row>
    <row r="550" spans="1:7" x14ac:dyDescent="0.3">
      <c r="A550" s="1">
        <v>12</v>
      </c>
      <c r="B550" s="1">
        <v>75</v>
      </c>
      <c r="C550" s="1">
        <f t="shared" si="26"/>
        <v>6.5024999999999853</v>
      </c>
      <c r="E550" s="1" t="s">
        <v>415</v>
      </c>
      <c r="F550" s="193">
        <f>C583</f>
        <v>12.111874338846158</v>
      </c>
      <c r="G550" s="193">
        <f>H544</f>
        <v>12.489995996796797</v>
      </c>
    </row>
    <row r="551" spans="1:7" x14ac:dyDescent="0.3">
      <c r="A551" s="1">
        <v>13</v>
      </c>
      <c r="B551" s="1">
        <v>81</v>
      </c>
      <c r="C551" s="1">
        <f t="shared" si="26"/>
        <v>11.902500000000019</v>
      </c>
      <c r="E551" s="1" t="s">
        <v>416</v>
      </c>
      <c r="F551" s="193">
        <f>C585</f>
        <v>79</v>
      </c>
      <c r="G551" s="193">
        <f>G545</f>
        <v>78.5</v>
      </c>
    </row>
    <row r="552" spans="1:7" x14ac:dyDescent="0.3">
      <c r="A552" s="1">
        <v>14</v>
      </c>
      <c r="B552" s="1">
        <v>85</v>
      </c>
      <c r="C552" s="1">
        <f t="shared" si="26"/>
        <v>55.50250000000004</v>
      </c>
      <c r="E552" s="1" t="s">
        <v>765</v>
      </c>
      <c r="F552" s="193">
        <f>D589</f>
        <v>25</v>
      </c>
      <c r="G552" s="193">
        <f>G546</f>
        <v>20</v>
      </c>
    </row>
    <row r="553" spans="1:7" x14ac:dyDescent="0.3">
      <c r="A553" s="1">
        <v>15</v>
      </c>
      <c r="B553" s="1">
        <v>89</v>
      </c>
      <c r="C553" s="1">
        <f t="shared" si="26"/>
        <v>131.10250000000008</v>
      </c>
    </row>
    <row r="554" spans="1:7" x14ac:dyDescent="0.3">
      <c r="A554" s="1">
        <v>16</v>
      </c>
      <c r="B554" s="1">
        <v>93</v>
      </c>
      <c r="C554" s="1">
        <f t="shared" si="26"/>
        <v>238.7025000000001</v>
      </c>
    </row>
    <row r="555" spans="1:7" x14ac:dyDescent="0.3">
      <c r="A555" s="1">
        <v>17</v>
      </c>
      <c r="B555" s="1">
        <v>56</v>
      </c>
      <c r="C555" s="1">
        <f t="shared" si="26"/>
        <v>464.40249999999986</v>
      </c>
    </row>
    <row r="556" spans="1:7" x14ac:dyDescent="0.3">
      <c r="A556" s="1">
        <v>18</v>
      </c>
      <c r="B556" s="1">
        <v>66</v>
      </c>
      <c r="C556" s="1">
        <f t="shared" si="26"/>
        <v>133.40249999999995</v>
      </c>
    </row>
    <row r="557" spans="1:7" x14ac:dyDescent="0.3">
      <c r="A557" s="1">
        <v>19</v>
      </c>
      <c r="B557" s="1">
        <v>70</v>
      </c>
      <c r="C557" s="1">
        <f t="shared" si="26"/>
        <v>57.002499999999955</v>
      </c>
    </row>
    <row r="558" spans="1:7" x14ac:dyDescent="0.3">
      <c r="A558" s="1">
        <v>20</v>
      </c>
      <c r="B558" s="1">
        <v>77</v>
      </c>
      <c r="C558" s="1">
        <f t="shared" si="26"/>
        <v>0.30249999999999688</v>
      </c>
    </row>
    <row r="559" spans="1:7" x14ac:dyDescent="0.3">
      <c r="A559" s="1">
        <v>21</v>
      </c>
      <c r="B559" s="1">
        <v>81</v>
      </c>
      <c r="C559" s="1">
        <f t="shared" si="26"/>
        <v>11.902500000000019</v>
      </c>
    </row>
    <row r="560" spans="1:7" x14ac:dyDescent="0.3">
      <c r="A560" s="1">
        <v>22</v>
      </c>
      <c r="B560" s="1">
        <v>86</v>
      </c>
      <c r="C560" s="1">
        <f t="shared" si="26"/>
        <v>71.402500000000046</v>
      </c>
    </row>
    <row r="561" spans="1:3" x14ac:dyDescent="0.3">
      <c r="A561" s="1">
        <v>23</v>
      </c>
      <c r="B561" s="1">
        <v>90</v>
      </c>
      <c r="C561" s="1">
        <f t="shared" si="26"/>
        <v>155.00250000000008</v>
      </c>
    </row>
    <row r="562" spans="1:3" x14ac:dyDescent="0.3">
      <c r="A562" s="1">
        <v>24</v>
      </c>
      <c r="B562" s="1">
        <v>94</v>
      </c>
      <c r="C562" s="1">
        <f t="shared" si="26"/>
        <v>270.60250000000008</v>
      </c>
    </row>
    <row r="563" spans="1:3" x14ac:dyDescent="0.3">
      <c r="A563" s="1">
        <v>25</v>
      </c>
      <c r="B563" s="1">
        <v>59</v>
      </c>
      <c r="C563" s="1">
        <f t="shared" si="26"/>
        <v>344.10249999999991</v>
      </c>
    </row>
    <row r="564" spans="1:3" x14ac:dyDescent="0.3">
      <c r="A564" s="1">
        <v>26</v>
      </c>
      <c r="B564" s="1">
        <v>67</v>
      </c>
      <c r="C564" s="1">
        <f t="shared" si="26"/>
        <v>111.30249999999994</v>
      </c>
    </row>
    <row r="565" spans="1:3" x14ac:dyDescent="0.3">
      <c r="A565" s="1">
        <v>27</v>
      </c>
      <c r="B565" s="1">
        <v>73</v>
      </c>
      <c r="C565" s="1">
        <f t="shared" si="26"/>
        <v>20.702499999999976</v>
      </c>
    </row>
    <row r="566" spans="1:3" x14ac:dyDescent="0.3">
      <c r="A566" s="1">
        <v>28</v>
      </c>
      <c r="B566" s="1">
        <v>78</v>
      </c>
      <c r="C566" s="1">
        <f t="shared" si="26"/>
        <v>0.20250000000000257</v>
      </c>
    </row>
    <row r="567" spans="1:3" x14ac:dyDescent="0.3">
      <c r="A567" s="1">
        <v>29</v>
      </c>
      <c r="B567" s="1">
        <v>82</v>
      </c>
      <c r="C567" s="1">
        <f t="shared" si="26"/>
        <v>19.802500000000027</v>
      </c>
    </row>
    <row r="568" spans="1:3" x14ac:dyDescent="0.3">
      <c r="A568" s="1">
        <v>30</v>
      </c>
      <c r="B568" s="1">
        <v>86</v>
      </c>
      <c r="C568" s="1">
        <f t="shared" si="26"/>
        <v>71.402500000000046</v>
      </c>
    </row>
    <row r="569" spans="1:3" x14ac:dyDescent="0.3">
      <c r="A569" s="1">
        <v>31</v>
      </c>
      <c r="B569" s="1">
        <v>90</v>
      </c>
      <c r="C569" s="1">
        <f t="shared" si="26"/>
        <v>155.00250000000008</v>
      </c>
    </row>
    <row r="570" spans="1:3" x14ac:dyDescent="0.3">
      <c r="A570" s="1">
        <v>32</v>
      </c>
      <c r="B570" s="1">
        <v>95</v>
      </c>
      <c r="C570" s="1">
        <f t="shared" si="26"/>
        <v>304.50250000000011</v>
      </c>
    </row>
    <row r="571" spans="1:3" x14ac:dyDescent="0.3">
      <c r="A571" s="1">
        <v>33</v>
      </c>
      <c r="B571" s="1">
        <v>60</v>
      </c>
      <c r="C571" s="1">
        <f t="shared" si="26"/>
        <v>308.00249999999988</v>
      </c>
    </row>
    <row r="572" spans="1:3" x14ac:dyDescent="0.3">
      <c r="A572" s="1">
        <v>34</v>
      </c>
      <c r="B572" s="1">
        <v>68</v>
      </c>
      <c r="C572" s="1">
        <f t="shared" si="26"/>
        <v>91.202499999999944</v>
      </c>
    </row>
    <row r="573" spans="1:3" x14ac:dyDescent="0.3">
      <c r="A573" s="1">
        <v>35</v>
      </c>
      <c r="B573" s="1">
        <v>73</v>
      </c>
      <c r="C573" s="1">
        <f t="shared" si="26"/>
        <v>20.702499999999976</v>
      </c>
    </row>
    <row r="574" spans="1:3" x14ac:dyDescent="0.3">
      <c r="A574" s="1">
        <v>36</v>
      </c>
      <c r="B574" s="1">
        <v>79</v>
      </c>
      <c r="C574" s="1">
        <f t="shared" si="26"/>
        <v>2.102500000000008</v>
      </c>
    </row>
    <row r="575" spans="1:3" x14ac:dyDescent="0.3">
      <c r="A575" s="1">
        <v>37</v>
      </c>
      <c r="B575" s="1">
        <v>83</v>
      </c>
      <c r="C575" s="1">
        <f t="shared" si="26"/>
        <v>29.702500000000033</v>
      </c>
    </row>
    <row r="576" spans="1:3" x14ac:dyDescent="0.3">
      <c r="A576" s="1">
        <v>38</v>
      </c>
      <c r="B576" s="1">
        <v>88</v>
      </c>
      <c r="C576" s="1">
        <f t="shared" si="26"/>
        <v>109.20250000000006</v>
      </c>
    </row>
    <row r="577" spans="1:8" x14ac:dyDescent="0.3">
      <c r="A577" s="1">
        <v>39</v>
      </c>
      <c r="B577" s="1">
        <v>91</v>
      </c>
      <c r="C577" s="1">
        <f t="shared" si="26"/>
        <v>180.90250000000009</v>
      </c>
    </row>
    <row r="578" spans="1:8" x14ac:dyDescent="0.3">
      <c r="A578" s="1">
        <v>40</v>
      </c>
      <c r="B578" s="1">
        <v>98</v>
      </c>
      <c r="C578" s="1">
        <f t="shared" si="26"/>
        <v>418.2025000000001</v>
      </c>
    </row>
    <row r="579" spans="1:8" x14ac:dyDescent="0.3">
      <c r="A579" s="1" t="s">
        <v>98</v>
      </c>
      <c r="B579" s="1">
        <f>SUM(B539:B578)</f>
        <v>3102</v>
      </c>
      <c r="C579" s="18">
        <f>SUM(C539:C578)</f>
        <v>5867.9000000000033</v>
      </c>
    </row>
    <row r="580" spans="1:8" x14ac:dyDescent="0.3">
      <c r="A580" s="1" t="s">
        <v>3</v>
      </c>
      <c r="B580" s="193">
        <f>AVERAGE(B539:B578)</f>
        <v>77.55</v>
      </c>
      <c r="C580" s="1">
        <f>AVERAGE(C539:C578)</f>
        <v>146.69750000000008</v>
      </c>
    </row>
    <row r="581" spans="1:8" x14ac:dyDescent="0.3">
      <c r="A581" s="225" t="s">
        <v>30</v>
      </c>
      <c r="B581" s="225"/>
      <c r="C581" s="1">
        <f>C579/A578</f>
        <v>146.69750000000008</v>
      </c>
    </row>
    <row r="582" spans="1:8" x14ac:dyDescent="0.3">
      <c r="A582" s="225" t="s">
        <v>30</v>
      </c>
      <c r="B582" s="225"/>
      <c r="C582" s="1">
        <f>VARP(B539:B578)</f>
        <v>146.69749999999999</v>
      </c>
    </row>
    <row r="583" spans="1:8" ht="27.6" customHeight="1" x14ac:dyDescent="0.3">
      <c r="A583" s="225" t="s">
        <v>31</v>
      </c>
      <c r="B583" s="225"/>
      <c r="C583" s="194">
        <f>SQRT(C581)</f>
        <v>12.111874338846158</v>
      </c>
    </row>
    <row r="584" spans="1:8" ht="28.2" customHeight="1" x14ac:dyDescent="0.3">
      <c r="A584" s="225" t="s">
        <v>31</v>
      </c>
      <c r="B584" s="225"/>
      <c r="C584" s="193">
        <f>STDEVP(B539:B578)</f>
        <v>12.111874338846155</v>
      </c>
    </row>
    <row r="585" spans="1:8" ht="14.4" customHeight="1" x14ac:dyDescent="0.3">
      <c r="A585" s="225" t="s">
        <v>5</v>
      </c>
      <c r="B585" s="225"/>
      <c r="C585" s="193">
        <f>AVERAGE(B558:B559)</f>
        <v>79</v>
      </c>
    </row>
    <row r="586" spans="1:8" x14ac:dyDescent="0.3">
      <c r="A586" s="225" t="s">
        <v>5</v>
      </c>
      <c r="B586" s="225"/>
      <c r="C586" s="193">
        <f>MEDIAN(B539:B578)</f>
        <v>79</v>
      </c>
    </row>
    <row r="587" spans="1:8" ht="15.6" customHeight="1" x14ac:dyDescent="0.3">
      <c r="A587" s="225" t="s">
        <v>125</v>
      </c>
      <c r="B587" s="225"/>
      <c r="C587" s="1" t="s">
        <v>39</v>
      </c>
      <c r="D587" s="1">
        <v>64</v>
      </c>
      <c r="E587" s="1">
        <f>QUARTILE($B$539:$B$578,1)</f>
        <v>68</v>
      </c>
    </row>
    <row r="588" spans="1:8" ht="13.2" customHeight="1" x14ac:dyDescent="0.3">
      <c r="A588" s="225"/>
      <c r="B588" s="225"/>
      <c r="C588" s="1" t="s">
        <v>40</v>
      </c>
      <c r="D588" s="1">
        <v>89</v>
      </c>
      <c r="E588" s="1">
        <f>QUARTILE($B$539:$B$578,3)</f>
        <v>88.25</v>
      </c>
    </row>
    <row r="589" spans="1:8" ht="27.6" x14ac:dyDescent="0.3">
      <c r="A589" s="225"/>
      <c r="B589" s="225"/>
      <c r="C589" s="1" t="s">
        <v>37</v>
      </c>
      <c r="D589" s="193">
        <f>D588-D587</f>
        <v>25</v>
      </c>
      <c r="E589" s="193">
        <f>E588-E587</f>
        <v>20.25</v>
      </c>
    </row>
    <row r="590" spans="1:8" ht="14.4" thickBot="1" x14ac:dyDescent="0.35"/>
    <row r="591" spans="1:8" ht="18" thickBot="1" x14ac:dyDescent="0.35">
      <c r="A591" s="221" t="s">
        <v>126</v>
      </c>
      <c r="B591" s="222"/>
      <c r="C591" s="222"/>
      <c r="D591" s="222"/>
      <c r="E591" s="222"/>
      <c r="F591" s="222"/>
      <c r="G591" s="222"/>
      <c r="H591" s="227"/>
    </row>
    <row r="592" spans="1:8" ht="55.2" x14ac:dyDescent="0.3">
      <c r="A592" s="1" t="s">
        <v>133</v>
      </c>
      <c r="B592" s="1" t="s">
        <v>132</v>
      </c>
      <c r="C592" s="1" t="s">
        <v>137</v>
      </c>
      <c r="D592" s="1" t="s">
        <v>136</v>
      </c>
    </row>
    <row r="593" spans="1:8" x14ac:dyDescent="0.3">
      <c r="A593" s="1" t="s">
        <v>116</v>
      </c>
      <c r="B593" s="1" t="s">
        <v>117</v>
      </c>
      <c r="E593" s="1" t="s">
        <v>116</v>
      </c>
      <c r="F593" s="1" t="s">
        <v>115</v>
      </c>
      <c r="G593" s="1" t="s">
        <v>135</v>
      </c>
    </row>
    <row r="594" spans="1:8" x14ac:dyDescent="0.3">
      <c r="A594" s="1" t="s">
        <v>127</v>
      </c>
      <c r="B594" s="1">
        <v>3</v>
      </c>
      <c r="C594" s="193">
        <f>B594/$B$599</f>
        <v>0.12</v>
      </c>
      <c r="D594" s="193">
        <f>C594</f>
        <v>0.12</v>
      </c>
      <c r="E594" s="1">
        <v>2</v>
      </c>
      <c r="F594" s="1">
        <f>B594*E594</f>
        <v>6</v>
      </c>
      <c r="G594" s="1">
        <f>B594*(E594-$F$600)^2</f>
        <v>162.50879999999995</v>
      </c>
    </row>
    <row r="595" spans="1:8" x14ac:dyDescent="0.3">
      <c r="A595" s="7" t="s">
        <v>128</v>
      </c>
      <c r="B595" s="1">
        <v>7</v>
      </c>
      <c r="C595" s="193">
        <f>B595/$B$599</f>
        <v>0.28000000000000003</v>
      </c>
      <c r="D595" s="193">
        <f>C595+D594</f>
        <v>0.4</v>
      </c>
      <c r="E595" s="1">
        <v>6</v>
      </c>
      <c r="F595" s="1">
        <f>B595*E595</f>
        <v>42</v>
      </c>
      <c r="G595" s="1">
        <f>B595*(E595-$F$600)^2</f>
        <v>79.027199999999979</v>
      </c>
    </row>
    <row r="596" spans="1:8" x14ac:dyDescent="0.3">
      <c r="A596" s="1" t="s">
        <v>129</v>
      </c>
      <c r="B596" s="1">
        <v>8</v>
      </c>
      <c r="C596" s="193">
        <f>B596/$B$599</f>
        <v>0.32</v>
      </c>
      <c r="D596" s="193">
        <f>C596+D595</f>
        <v>0.72</v>
      </c>
      <c r="E596" s="1">
        <v>10</v>
      </c>
      <c r="F596" s="1">
        <f>B596*E596</f>
        <v>80</v>
      </c>
      <c r="G596" s="1">
        <f>B596*(E596-$F$600)^2</f>
        <v>3.2768000000000059</v>
      </c>
    </row>
    <row r="597" spans="1:8" x14ac:dyDescent="0.3">
      <c r="A597" s="1" t="s">
        <v>130</v>
      </c>
      <c r="B597" s="1">
        <v>5</v>
      </c>
      <c r="C597" s="193">
        <f>B597/$B$599</f>
        <v>0.2</v>
      </c>
      <c r="D597" s="193">
        <f>C597+D596</f>
        <v>0.91999999999999993</v>
      </c>
      <c r="E597" s="1">
        <v>14</v>
      </c>
      <c r="F597" s="1">
        <f>B597*E597</f>
        <v>70</v>
      </c>
      <c r="G597" s="1">
        <f>B597*(E597-$F$600)^2</f>
        <v>107.64800000000002</v>
      </c>
    </row>
    <row r="598" spans="1:8" x14ac:dyDescent="0.3">
      <c r="A598" s="1" t="s">
        <v>131</v>
      </c>
      <c r="B598" s="1">
        <v>2</v>
      </c>
      <c r="C598" s="193">
        <f>B598/$B$599</f>
        <v>0.08</v>
      </c>
      <c r="D598" s="193">
        <f>C598+D597</f>
        <v>0.99999999999999989</v>
      </c>
      <c r="E598" s="1">
        <v>18</v>
      </c>
      <c r="F598" s="1">
        <f>B598*E598</f>
        <v>36</v>
      </c>
      <c r="G598" s="1">
        <f>B598*(E598-$F$600)^2</f>
        <v>149.29920000000001</v>
      </c>
    </row>
    <row r="599" spans="1:8" x14ac:dyDescent="0.3">
      <c r="A599" s="1" t="s">
        <v>98</v>
      </c>
      <c r="B599" s="1">
        <f>SUM(B594:B598)</f>
        <v>25</v>
      </c>
      <c r="C599" s="1">
        <f>SUM(C594:C598)</f>
        <v>0.99999999999999989</v>
      </c>
      <c r="F599" s="1">
        <f>SUM(F594:F598)</f>
        <v>234</v>
      </c>
      <c r="G599" s="1">
        <f>SUM(G594:G598)</f>
        <v>501.76</v>
      </c>
    </row>
    <row r="600" spans="1:8" x14ac:dyDescent="0.3">
      <c r="A600" s="1" t="s">
        <v>3</v>
      </c>
      <c r="F600" s="1">
        <f>F599/B599</f>
        <v>9.36</v>
      </c>
    </row>
    <row r="601" spans="1:8" x14ac:dyDescent="0.3">
      <c r="A601" s="1" t="s">
        <v>134</v>
      </c>
      <c r="G601" s="1">
        <f>G599/(B599-1)</f>
        <v>20.906666666666666</v>
      </c>
    </row>
    <row r="602" spans="1:8" ht="27.6" x14ac:dyDescent="0.3">
      <c r="A602" s="19" t="s">
        <v>4</v>
      </c>
      <c r="G602" s="1">
        <f>SQRT(G601)</f>
        <v>4.5723808531952654</v>
      </c>
    </row>
    <row r="604" spans="1:8" x14ac:dyDescent="0.3">
      <c r="A604" s="231" t="s">
        <v>53</v>
      </c>
      <c r="B604" s="231"/>
      <c r="C604" s="168" t="s">
        <v>54</v>
      </c>
      <c r="D604" s="231" t="s">
        <v>55</v>
      </c>
      <c r="E604" s="231"/>
      <c r="F604" s="231"/>
      <c r="G604" s="231"/>
      <c r="H604" s="168" t="s">
        <v>56</v>
      </c>
    </row>
    <row r="605" spans="1:8" x14ac:dyDescent="0.3">
      <c r="C605" s="20">
        <f>C594</f>
        <v>0.12</v>
      </c>
      <c r="D605" s="20">
        <f>D594</f>
        <v>0.12</v>
      </c>
      <c r="H605" s="2">
        <f>F600</f>
        <v>9.36</v>
      </c>
    </row>
    <row r="606" spans="1:8" x14ac:dyDescent="0.3">
      <c r="C606" s="20">
        <f t="shared" ref="C606:D609" si="28">C595</f>
        <v>0.28000000000000003</v>
      </c>
      <c r="D606" s="20">
        <f t="shared" si="28"/>
        <v>0.4</v>
      </c>
    </row>
    <row r="607" spans="1:8" x14ac:dyDescent="0.3">
      <c r="C607" s="20">
        <f t="shared" si="28"/>
        <v>0.32</v>
      </c>
      <c r="D607" s="20">
        <f t="shared" si="28"/>
        <v>0.72</v>
      </c>
      <c r="H607" s="1" t="s">
        <v>138</v>
      </c>
    </row>
    <row r="608" spans="1:8" x14ac:dyDescent="0.3">
      <c r="C608" s="20">
        <f t="shared" si="28"/>
        <v>0.2</v>
      </c>
      <c r="D608" s="20">
        <f t="shared" si="28"/>
        <v>0.91999999999999993</v>
      </c>
      <c r="H608" s="2">
        <f>G602</f>
        <v>4.5723808531952654</v>
      </c>
    </row>
    <row r="609" spans="1:8" x14ac:dyDescent="0.3">
      <c r="C609" s="21">
        <f t="shared" si="28"/>
        <v>0.08</v>
      </c>
      <c r="D609" s="21">
        <f t="shared" si="28"/>
        <v>0.99999999999999989</v>
      </c>
    </row>
    <row r="610" spans="1:8" x14ac:dyDescent="0.3">
      <c r="H610" s="1" t="s">
        <v>139</v>
      </c>
    </row>
    <row r="611" spans="1:8" ht="13.2" customHeight="1" x14ac:dyDescent="0.3">
      <c r="H611" s="229" t="s">
        <v>140</v>
      </c>
    </row>
    <row r="612" spans="1:8" x14ac:dyDescent="0.3">
      <c r="H612" s="229"/>
    </row>
    <row r="613" spans="1:8" x14ac:dyDescent="0.3">
      <c r="H613" s="229"/>
    </row>
    <row r="614" spans="1:8" x14ac:dyDescent="0.3">
      <c r="H614" s="229"/>
    </row>
    <row r="615" spans="1:8" x14ac:dyDescent="0.3">
      <c r="H615" s="229"/>
    </row>
    <row r="616" spans="1:8" ht="13.95" hidden="1" customHeight="1" x14ac:dyDescent="0.3">
      <c r="H616" s="229"/>
    </row>
    <row r="618" spans="1:8" x14ac:dyDescent="0.3">
      <c r="H618" s="1" t="s">
        <v>141</v>
      </c>
    </row>
    <row r="619" spans="1:8" x14ac:dyDescent="0.3">
      <c r="H619" s="22" t="s">
        <v>129</v>
      </c>
    </row>
    <row r="620" spans="1:8" ht="14.4" customHeight="1" x14ac:dyDescent="0.3">
      <c r="A620" s="234" t="s">
        <v>142</v>
      </c>
      <c r="B620" s="234"/>
      <c r="C620" s="234"/>
      <c r="D620" s="234"/>
      <c r="E620" s="234"/>
      <c r="F620" s="234"/>
      <c r="G620" s="234"/>
      <c r="H620" s="234"/>
    </row>
    <row r="621" spans="1:8" ht="14.4" thickBot="1" x14ac:dyDescent="0.35"/>
    <row r="622" spans="1:8" ht="18" thickBot="1" x14ac:dyDescent="0.35">
      <c r="A622" s="221" t="s">
        <v>143</v>
      </c>
      <c r="B622" s="222"/>
      <c r="C622" s="222"/>
      <c r="D622" s="222"/>
      <c r="E622" s="222"/>
      <c r="F622" s="222"/>
      <c r="G622" s="222"/>
      <c r="H622" s="227"/>
    </row>
    <row r="623" spans="1:8" ht="69" x14ac:dyDescent="0.3">
      <c r="A623" s="1" t="s">
        <v>144</v>
      </c>
      <c r="B623" s="1" t="s">
        <v>145</v>
      </c>
      <c r="C623" s="1" t="s">
        <v>137</v>
      </c>
      <c r="D623" s="1" t="s">
        <v>136</v>
      </c>
      <c r="E623" s="1" t="s">
        <v>154</v>
      </c>
    </row>
    <row r="624" spans="1:8" x14ac:dyDescent="0.3">
      <c r="B624" s="1" t="s">
        <v>117</v>
      </c>
      <c r="F624" s="1" t="s">
        <v>116</v>
      </c>
      <c r="G624" s="1" t="s">
        <v>115</v>
      </c>
      <c r="H624" s="1" t="s">
        <v>135</v>
      </c>
    </row>
    <row r="625" spans="1:8" x14ac:dyDescent="0.3">
      <c r="A625" s="1" t="s">
        <v>146</v>
      </c>
      <c r="B625" s="1">
        <v>2</v>
      </c>
      <c r="C625" s="193">
        <f>B625/$B$630</f>
        <v>0.1</v>
      </c>
      <c r="D625" s="193">
        <f>B625</f>
        <v>2</v>
      </c>
      <c r="E625" s="193">
        <f>C625</f>
        <v>0.1</v>
      </c>
      <c r="F625" s="1">
        <v>10.199999999999999</v>
      </c>
      <c r="G625" s="1">
        <f>B625*F625</f>
        <v>20.399999999999999</v>
      </c>
      <c r="H625" s="1">
        <f>B625*(F625-$G$631)^2</f>
        <v>1.3612499999999976</v>
      </c>
    </row>
    <row r="626" spans="1:8" x14ac:dyDescent="0.3">
      <c r="A626" s="1" t="s">
        <v>147</v>
      </c>
      <c r="B626" s="1">
        <v>8</v>
      </c>
      <c r="C626" s="193">
        <f t="shared" ref="C626:C631" si="29">B626/$B$630</f>
        <v>0.4</v>
      </c>
      <c r="D626" s="193">
        <f t="shared" ref="D626:E629" si="30">B626+D625</f>
        <v>10</v>
      </c>
      <c r="E626" s="193">
        <f t="shared" si="30"/>
        <v>0.5</v>
      </c>
      <c r="F626" s="1">
        <v>10.7</v>
      </c>
      <c r="G626" s="1">
        <f>B626*F626</f>
        <v>85.6</v>
      </c>
      <c r="H626" s="1">
        <f>B626*(F626-$G$631)^2</f>
        <v>0.84499999999999631</v>
      </c>
    </row>
    <row r="627" spans="1:8" x14ac:dyDescent="0.3">
      <c r="A627" s="1" t="s">
        <v>148</v>
      </c>
      <c r="B627" s="1">
        <v>6</v>
      </c>
      <c r="C627" s="193">
        <f t="shared" si="29"/>
        <v>0.3</v>
      </c>
      <c r="D627" s="193">
        <f t="shared" si="30"/>
        <v>16</v>
      </c>
      <c r="E627" s="193">
        <f t="shared" si="30"/>
        <v>0.8</v>
      </c>
      <c r="F627" s="1">
        <v>11.2</v>
      </c>
      <c r="G627" s="1">
        <f>B627*F627</f>
        <v>67.199999999999989</v>
      </c>
      <c r="H627" s="1">
        <f>B627*(F627-$G$631)^2</f>
        <v>0.1837500000000015</v>
      </c>
    </row>
    <row r="628" spans="1:8" x14ac:dyDescent="0.3">
      <c r="A628" s="1" t="s">
        <v>149</v>
      </c>
      <c r="B628" s="1">
        <v>3</v>
      </c>
      <c r="C628" s="193">
        <f t="shared" si="29"/>
        <v>0.15</v>
      </c>
      <c r="D628" s="193">
        <f t="shared" si="30"/>
        <v>19</v>
      </c>
      <c r="E628" s="193">
        <f t="shared" si="30"/>
        <v>0.95000000000000007</v>
      </c>
      <c r="F628" s="1">
        <v>11.7</v>
      </c>
      <c r="G628" s="1">
        <f>B628*F628</f>
        <v>35.099999999999994</v>
      </c>
      <c r="H628" s="1">
        <f>B628*(F628-$G$631)^2</f>
        <v>1.3668750000000029</v>
      </c>
    </row>
    <row r="629" spans="1:8" x14ac:dyDescent="0.3">
      <c r="A629" s="1" t="s">
        <v>150</v>
      </c>
      <c r="B629" s="1">
        <v>1</v>
      </c>
      <c r="C629" s="193">
        <f t="shared" si="29"/>
        <v>0.05</v>
      </c>
      <c r="D629" s="193">
        <f t="shared" si="30"/>
        <v>20</v>
      </c>
      <c r="E629" s="193">
        <f t="shared" si="30"/>
        <v>1</v>
      </c>
      <c r="F629" s="1">
        <v>12.2</v>
      </c>
      <c r="G629" s="1">
        <f>B629*F629</f>
        <v>12.2</v>
      </c>
      <c r="H629" s="1">
        <f>B629*(F629-$G$631)^2</f>
        <v>1.3806250000000018</v>
      </c>
    </row>
    <row r="630" spans="1:8" x14ac:dyDescent="0.3">
      <c r="A630" s="1" t="s">
        <v>98</v>
      </c>
      <c r="B630" s="1">
        <f>SUM(B625:B629)</f>
        <v>20</v>
      </c>
      <c r="C630" s="193">
        <f t="shared" si="29"/>
        <v>1</v>
      </c>
      <c r="G630" s="1">
        <f>SUM(G625:G629)</f>
        <v>220.49999999999997</v>
      </c>
      <c r="H630" s="1">
        <f>SUM(H625:H629)</f>
        <v>5.1375000000000002</v>
      </c>
    </row>
    <row r="631" spans="1:8" x14ac:dyDescent="0.3">
      <c r="A631" s="1" t="s">
        <v>3</v>
      </c>
      <c r="C631" s="1">
        <f t="shared" si="29"/>
        <v>0</v>
      </c>
      <c r="G631" s="193">
        <f>G630/B630</f>
        <v>11.024999999999999</v>
      </c>
    </row>
    <row r="632" spans="1:8" ht="27.6" x14ac:dyDescent="0.3">
      <c r="A632" s="1" t="s">
        <v>43</v>
      </c>
      <c r="H632" s="1">
        <f>H630/(B630-1)</f>
        <v>0.2703947368421053</v>
      </c>
    </row>
    <row r="633" spans="1:8" ht="41.4" x14ac:dyDescent="0.3">
      <c r="A633" s="1" t="s">
        <v>151</v>
      </c>
      <c r="H633" s="1">
        <f>SQRT(H632)</f>
        <v>0.51999493924662887</v>
      </c>
    </row>
    <row r="634" spans="1:8" ht="17.399999999999999" customHeight="1" x14ac:dyDescent="0.3">
      <c r="A634" s="225" t="s">
        <v>125</v>
      </c>
      <c r="B634" s="1" t="s">
        <v>39</v>
      </c>
      <c r="C634" s="1">
        <f>0.4</f>
        <v>0.4</v>
      </c>
    </row>
    <row r="635" spans="1:8" ht="12.6" customHeight="1" x14ac:dyDescent="0.3">
      <c r="A635" s="225"/>
      <c r="B635" s="1" t="s">
        <v>40</v>
      </c>
      <c r="C635" s="1">
        <v>11.2</v>
      </c>
    </row>
    <row r="636" spans="1:8" x14ac:dyDescent="0.3">
      <c r="A636" s="225"/>
      <c r="B636" s="1" t="s">
        <v>36</v>
      </c>
      <c r="C636" s="2">
        <f>C635-C634</f>
        <v>10.799999999999999</v>
      </c>
    </row>
    <row r="638" spans="1:8" x14ac:dyDescent="0.3">
      <c r="A638" s="225" t="s">
        <v>53</v>
      </c>
      <c r="B638" s="225"/>
      <c r="C638" s="1" t="s">
        <v>54</v>
      </c>
      <c r="D638" s="1" t="s">
        <v>55</v>
      </c>
      <c r="E638" s="1" t="s">
        <v>138</v>
      </c>
      <c r="F638" s="1" t="s">
        <v>139</v>
      </c>
      <c r="G638" s="1" t="s">
        <v>141</v>
      </c>
      <c r="H638" s="1" t="s">
        <v>152</v>
      </c>
    </row>
    <row r="639" spans="1:8" x14ac:dyDescent="0.3">
      <c r="C639" s="193">
        <f t="shared" ref="C639:D643" si="31">C625</f>
        <v>0.1</v>
      </c>
      <c r="D639" s="193">
        <f t="shared" si="31"/>
        <v>2</v>
      </c>
      <c r="E639" s="193">
        <f>G631</f>
        <v>11.024999999999999</v>
      </c>
      <c r="F639" s="193">
        <f>H632</f>
        <v>0.2703947368421053</v>
      </c>
      <c r="G639" s="193">
        <v>10.95</v>
      </c>
      <c r="H639" s="193">
        <f>C636</f>
        <v>10.799999999999999</v>
      </c>
    </row>
    <row r="640" spans="1:8" x14ac:dyDescent="0.3">
      <c r="C640" s="193">
        <f t="shared" si="31"/>
        <v>0.4</v>
      </c>
      <c r="D640" s="193">
        <f t="shared" si="31"/>
        <v>10</v>
      </c>
      <c r="F640" s="193">
        <f>H633</f>
        <v>0.51999493924662887</v>
      </c>
    </row>
    <row r="641" spans="1:8" ht="14.4" customHeight="1" x14ac:dyDescent="0.3">
      <c r="C641" s="193">
        <f t="shared" si="31"/>
        <v>0.3</v>
      </c>
      <c r="D641" s="193">
        <f t="shared" si="31"/>
        <v>16</v>
      </c>
    </row>
    <row r="642" spans="1:8" ht="14.4" customHeight="1" x14ac:dyDescent="0.3">
      <c r="C642" s="193">
        <f t="shared" si="31"/>
        <v>0.15</v>
      </c>
      <c r="D642" s="193">
        <f t="shared" si="31"/>
        <v>19</v>
      </c>
    </row>
    <row r="643" spans="1:8" x14ac:dyDescent="0.3">
      <c r="C643" s="193">
        <f t="shared" si="31"/>
        <v>0.05</v>
      </c>
      <c r="D643" s="193">
        <f t="shared" si="31"/>
        <v>20</v>
      </c>
      <c r="G643" s="225" t="s">
        <v>153</v>
      </c>
      <c r="H643" s="225"/>
    </row>
    <row r="644" spans="1:8" x14ac:dyDescent="0.3">
      <c r="C644" s="193">
        <f>C630</f>
        <v>1</v>
      </c>
      <c r="G644" s="233" t="s">
        <v>147</v>
      </c>
      <c r="H644" s="233"/>
    </row>
    <row r="649" spans="1:8" x14ac:dyDescent="0.3">
      <c r="A649" s="1" t="s">
        <v>56</v>
      </c>
      <c r="B649" s="193">
        <v>0.1</v>
      </c>
      <c r="C649" s="193">
        <v>0.5</v>
      </c>
      <c r="D649" s="193">
        <v>0.8</v>
      </c>
      <c r="E649" s="193">
        <v>0.95000000000000007</v>
      </c>
      <c r="F649" s="193">
        <v>1</v>
      </c>
    </row>
    <row r="650" spans="1:8" ht="58.95" customHeight="1" x14ac:dyDescent="0.3">
      <c r="A650" s="232" t="s">
        <v>155</v>
      </c>
      <c r="B650" s="232"/>
      <c r="C650" s="232"/>
      <c r="D650" s="232"/>
      <c r="E650" s="232"/>
      <c r="F650" s="232"/>
      <c r="G650" s="232"/>
      <c r="H650" s="232"/>
    </row>
    <row r="651" spans="1:8" ht="14.4" thickBot="1" x14ac:dyDescent="0.35"/>
    <row r="652" spans="1:8" ht="18" thickBot="1" x14ac:dyDescent="0.35">
      <c r="A652" s="221" t="s">
        <v>156</v>
      </c>
      <c r="B652" s="222"/>
      <c r="C652" s="222"/>
      <c r="D652" s="222"/>
      <c r="E652" s="222"/>
      <c r="F652" s="222"/>
      <c r="G652" s="222"/>
      <c r="H652" s="227"/>
    </row>
    <row r="653" spans="1:8" ht="69" x14ac:dyDescent="0.3">
      <c r="A653" s="1" t="s">
        <v>158</v>
      </c>
      <c r="B653" s="1" t="s">
        <v>157</v>
      </c>
      <c r="E653" s="1" t="s">
        <v>137</v>
      </c>
      <c r="F653" s="1" t="s">
        <v>154</v>
      </c>
    </row>
    <row r="654" spans="1:8" x14ac:dyDescent="0.3">
      <c r="B654" s="1" t="s">
        <v>117</v>
      </c>
      <c r="C654" s="1" t="s">
        <v>116</v>
      </c>
      <c r="D654" s="1" t="s">
        <v>115</v>
      </c>
      <c r="G654" s="1" t="s">
        <v>135</v>
      </c>
    </row>
    <row r="655" spans="1:8" x14ac:dyDescent="0.3">
      <c r="A655" s="1" t="s">
        <v>159</v>
      </c>
      <c r="B655" s="1">
        <v>6</v>
      </c>
      <c r="C655" s="1">
        <v>0.5</v>
      </c>
      <c r="D655" s="1">
        <f>B655*C655</f>
        <v>3</v>
      </c>
      <c r="E655" s="2">
        <f>B655/$B$659</f>
        <v>0.3</v>
      </c>
      <c r="F655" s="2">
        <f>E655</f>
        <v>0.3</v>
      </c>
      <c r="G655" s="1">
        <f>B655*(C655-$D$660)^2</f>
        <v>6</v>
      </c>
    </row>
    <row r="656" spans="1:8" x14ac:dyDescent="0.3">
      <c r="A656" s="1" t="s">
        <v>160</v>
      </c>
      <c r="B656" s="1">
        <v>9</v>
      </c>
      <c r="C656" s="1">
        <v>1.5</v>
      </c>
      <c r="D656" s="1">
        <f>B656*C656</f>
        <v>13.5</v>
      </c>
      <c r="E656" s="2">
        <f>B656/$B$659</f>
        <v>0.45</v>
      </c>
      <c r="F656" s="2">
        <f>E656+F655</f>
        <v>0.75</v>
      </c>
      <c r="G656" s="1">
        <f>B656*(C656-$D$660)^2</f>
        <v>0</v>
      </c>
    </row>
    <row r="657" spans="1:8" x14ac:dyDescent="0.3">
      <c r="A657" s="1" t="s">
        <v>161</v>
      </c>
      <c r="B657" s="1">
        <v>4</v>
      </c>
      <c r="C657" s="1">
        <v>2.5</v>
      </c>
      <c r="D657" s="1">
        <f>B657*C657</f>
        <v>10</v>
      </c>
      <c r="E657" s="2">
        <f>B657/$B$659</f>
        <v>0.2</v>
      </c>
      <c r="F657" s="2">
        <f>E657+F656</f>
        <v>0.95</v>
      </c>
      <c r="G657" s="1">
        <f>B657*(C657-$D$660)^2</f>
        <v>4</v>
      </c>
    </row>
    <row r="658" spans="1:8" x14ac:dyDescent="0.3">
      <c r="A658" s="1" t="s">
        <v>162</v>
      </c>
      <c r="B658" s="1">
        <v>1</v>
      </c>
      <c r="C658" s="1">
        <v>3.5</v>
      </c>
      <c r="D658" s="1">
        <f>B658*C658</f>
        <v>3.5</v>
      </c>
      <c r="E658" s="2">
        <f>B658/$B$659</f>
        <v>0.05</v>
      </c>
      <c r="F658" s="2">
        <f>E658+F657</f>
        <v>1</v>
      </c>
      <c r="G658" s="1">
        <f>B658*(C658-$D$660)^2</f>
        <v>4</v>
      </c>
    </row>
    <row r="659" spans="1:8" x14ac:dyDescent="0.3">
      <c r="A659" s="1" t="s">
        <v>98</v>
      </c>
      <c r="B659" s="1">
        <f>SUM(B655:B658)</f>
        <v>20</v>
      </c>
      <c r="D659" s="1">
        <f>SUM(D655:D658)</f>
        <v>30</v>
      </c>
      <c r="E659" s="2">
        <f>B659/$B$659</f>
        <v>1</v>
      </c>
      <c r="G659" s="1">
        <f>SUM(G655:G658)</f>
        <v>14</v>
      </c>
    </row>
    <row r="660" spans="1:8" x14ac:dyDescent="0.3">
      <c r="A660" s="1" t="s">
        <v>3</v>
      </c>
      <c r="D660" s="2">
        <f>D659/B659</f>
        <v>1.5</v>
      </c>
    </row>
    <row r="661" spans="1:8" ht="27.6" x14ac:dyDescent="0.3">
      <c r="A661" s="1" t="s">
        <v>43</v>
      </c>
      <c r="G661" s="2">
        <f>G659/(B659-1)</f>
        <v>0.73684210526315785</v>
      </c>
    </row>
    <row r="662" spans="1:8" ht="41.4" x14ac:dyDescent="0.3">
      <c r="A662" s="1" t="s">
        <v>151</v>
      </c>
      <c r="G662" s="2">
        <f>SQRT(G661)</f>
        <v>0.85839507527895209</v>
      </c>
    </row>
    <row r="663" spans="1:8" ht="15.6" customHeight="1" x14ac:dyDescent="0.3">
      <c r="A663" s="225" t="s">
        <v>125</v>
      </c>
      <c r="B663" s="1" t="s">
        <v>39</v>
      </c>
      <c r="C663" s="1">
        <v>0.5</v>
      </c>
    </row>
    <row r="664" spans="1:8" x14ac:dyDescent="0.3">
      <c r="A664" s="225"/>
      <c r="B664" s="1" t="s">
        <v>40</v>
      </c>
      <c r="C664" s="1">
        <v>2.25</v>
      </c>
    </row>
    <row r="665" spans="1:8" ht="27" customHeight="1" x14ac:dyDescent="0.3">
      <c r="A665" s="225"/>
      <c r="B665" s="1" t="s">
        <v>37</v>
      </c>
      <c r="C665" s="2">
        <f>C664-C663</f>
        <v>1.75</v>
      </c>
    </row>
    <row r="667" spans="1:8" x14ac:dyDescent="0.3">
      <c r="A667" s="225" t="s">
        <v>53</v>
      </c>
      <c r="B667" s="225"/>
      <c r="C667" s="1" t="s">
        <v>54</v>
      </c>
      <c r="D667" s="1" t="s">
        <v>55</v>
      </c>
      <c r="E667" s="1" t="s">
        <v>56</v>
      </c>
      <c r="F667" s="1" t="s">
        <v>138</v>
      </c>
      <c r="G667" s="1" t="s">
        <v>139</v>
      </c>
      <c r="H667" s="1" t="s">
        <v>141</v>
      </c>
    </row>
    <row r="668" spans="1:8" x14ac:dyDescent="0.3">
      <c r="C668" s="2">
        <f t="shared" ref="C668:D671" si="32">E655</f>
        <v>0.3</v>
      </c>
      <c r="D668" s="2">
        <f t="shared" si="32"/>
        <v>0.3</v>
      </c>
      <c r="E668" s="2">
        <f>D660</f>
        <v>1.5</v>
      </c>
      <c r="F668" s="2">
        <f>G661</f>
        <v>0.73684210526315785</v>
      </c>
      <c r="G668" s="2">
        <v>1.44</v>
      </c>
      <c r="H668" s="2">
        <f>C665</f>
        <v>1.75</v>
      </c>
    </row>
    <row r="669" spans="1:8" x14ac:dyDescent="0.3">
      <c r="C669" s="2">
        <f t="shared" si="32"/>
        <v>0.45</v>
      </c>
      <c r="D669" s="2">
        <f t="shared" si="32"/>
        <v>0.75</v>
      </c>
      <c r="F669" s="2">
        <f>SQRT(F668)</f>
        <v>0.85839507527895209</v>
      </c>
    </row>
    <row r="670" spans="1:8" x14ac:dyDescent="0.3">
      <c r="C670" s="2">
        <f t="shared" si="32"/>
        <v>0.2</v>
      </c>
      <c r="D670" s="2">
        <f t="shared" si="32"/>
        <v>0.95</v>
      </c>
    </row>
    <row r="671" spans="1:8" x14ac:dyDescent="0.3">
      <c r="C671" s="2">
        <f t="shared" si="32"/>
        <v>0.05</v>
      </c>
      <c r="D671" s="2">
        <f t="shared" si="32"/>
        <v>1</v>
      </c>
      <c r="H671" s="1" t="s">
        <v>152</v>
      </c>
    </row>
    <row r="672" spans="1:8" x14ac:dyDescent="0.3">
      <c r="C672" s="2">
        <f>E659</f>
        <v>1</v>
      </c>
      <c r="H672" s="23">
        <v>1.29</v>
      </c>
    </row>
    <row r="677" spans="1:8" ht="14.4" thickBot="1" x14ac:dyDescent="0.35"/>
    <row r="678" spans="1:8" ht="18" thickBot="1" x14ac:dyDescent="0.35">
      <c r="A678" s="221" t="s">
        <v>163</v>
      </c>
      <c r="B678" s="222"/>
      <c r="C678" s="222"/>
      <c r="D678" s="222"/>
      <c r="E678" s="222"/>
      <c r="F678" s="222"/>
      <c r="G678" s="222"/>
      <c r="H678" s="227"/>
    </row>
    <row r="679" spans="1:8" ht="27.6" x14ac:dyDescent="0.3">
      <c r="A679" s="1" t="s">
        <v>171</v>
      </c>
      <c r="B679" s="1" t="s">
        <v>172</v>
      </c>
    </row>
    <row r="680" spans="1:8" x14ac:dyDescent="0.3">
      <c r="C680" s="1" t="s">
        <v>116</v>
      </c>
    </row>
    <row r="681" spans="1:8" x14ac:dyDescent="0.3">
      <c r="A681" s="1" t="s">
        <v>170</v>
      </c>
      <c r="B681" s="1">
        <v>0.2</v>
      </c>
      <c r="C681" s="1">
        <v>12500</v>
      </c>
      <c r="D681" s="1">
        <f>B681*C681</f>
        <v>2500</v>
      </c>
      <c r="E681" s="1">
        <f>B681*(C681-$D$688)^2</f>
        <v>46208000</v>
      </c>
    </row>
    <row r="682" spans="1:8" x14ac:dyDescent="0.3">
      <c r="A682" s="1" t="s">
        <v>164</v>
      </c>
      <c r="B682" s="1">
        <v>0.18</v>
      </c>
      <c r="C682" s="1">
        <v>17500</v>
      </c>
      <c r="D682" s="1">
        <f t="shared" ref="D682:D687" si="33">B682*C682</f>
        <v>3150</v>
      </c>
      <c r="E682" s="1">
        <f t="shared" ref="E682:E687" si="34">B682*(C682-$D$688)^2</f>
        <v>18727200</v>
      </c>
    </row>
    <row r="683" spans="1:8" x14ac:dyDescent="0.3">
      <c r="A683" s="1" t="s">
        <v>165</v>
      </c>
      <c r="B683" s="1">
        <v>0.14000000000000001</v>
      </c>
      <c r="C683" s="1">
        <v>22500</v>
      </c>
      <c r="D683" s="1">
        <f t="shared" si="33"/>
        <v>3150.0000000000005</v>
      </c>
      <c r="E683" s="1">
        <f t="shared" si="34"/>
        <v>3785600.0000000005</v>
      </c>
    </row>
    <row r="684" spans="1:8" x14ac:dyDescent="0.3">
      <c r="A684" s="1" t="s">
        <v>166</v>
      </c>
      <c r="B684" s="1">
        <v>0.12</v>
      </c>
      <c r="C684" s="1">
        <v>27500</v>
      </c>
      <c r="D684" s="1">
        <f t="shared" si="33"/>
        <v>3300</v>
      </c>
      <c r="E684" s="1">
        <f t="shared" si="34"/>
        <v>4800</v>
      </c>
    </row>
    <row r="685" spans="1:8" x14ac:dyDescent="0.3">
      <c r="A685" s="1" t="s">
        <v>167</v>
      </c>
      <c r="B685" s="1">
        <v>0.14000000000000001</v>
      </c>
      <c r="C685" s="1">
        <v>35000</v>
      </c>
      <c r="D685" s="1">
        <f t="shared" si="33"/>
        <v>4900.0000000000009</v>
      </c>
      <c r="E685" s="1">
        <f t="shared" si="34"/>
        <v>7460600.0000000009</v>
      </c>
    </row>
    <row r="686" spans="1:8" x14ac:dyDescent="0.3">
      <c r="A686" s="1" t="s">
        <v>168</v>
      </c>
      <c r="B686" s="1">
        <v>0.14000000000000001</v>
      </c>
      <c r="C686" s="1">
        <v>45000</v>
      </c>
      <c r="D686" s="1">
        <f t="shared" si="33"/>
        <v>6300.0000000000009</v>
      </c>
      <c r="E686" s="1">
        <f t="shared" si="34"/>
        <v>41900600.000000007</v>
      </c>
    </row>
    <row r="687" spans="1:8" x14ac:dyDescent="0.3">
      <c r="A687" s="1" t="s">
        <v>169</v>
      </c>
      <c r="B687" s="1">
        <v>0.08</v>
      </c>
      <c r="C687" s="1">
        <v>55000</v>
      </c>
      <c r="D687" s="1">
        <f t="shared" si="33"/>
        <v>4400</v>
      </c>
      <c r="E687" s="1">
        <f t="shared" si="34"/>
        <v>59623200</v>
      </c>
    </row>
    <row r="688" spans="1:8" x14ac:dyDescent="0.3">
      <c r="D688" s="2">
        <f>SUM(D681:D687)</f>
        <v>27700</v>
      </c>
      <c r="E688" s="1">
        <f>SUM(E681:E687)</f>
        <v>177710000</v>
      </c>
    </row>
    <row r="689" spans="1:8" x14ac:dyDescent="0.3">
      <c r="E689" s="2">
        <f>SQRT(E688)</f>
        <v>13330.791424367872</v>
      </c>
    </row>
    <row r="691" spans="1:8" x14ac:dyDescent="0.3">
      <c r="A691" s="231" t="s">
        <v>53</v>
      </c>
      <c r="B691" s="231"/>
      <c r="C691" s="231"/>
      <c r="D691" s="168" t="s">
        <v>54</v>
      </c>
      <c r="E691" s="168" t="s">
        <v>55</v>
      </c>
      <c r="F691" s="168" t="s">
        <v>56</v>
      </c>
    </row>
    <row r="692" spans="1:8" x14ac:dyDescent="0.3">
      <c r="D692" s="193">
        <f>D688</f>
        <v>27700</v>
      </c>
      <c r="E692" s="193">
        <f>E689</f>
        <v>13330.791424367872</v>
      </c>
      <c r="F692" s="193">
        <v>24286</v>
      </c>
    </row>
    <row r="701" spans="1:8" x14ac:dyDescent="0.3">
      <c r="A701" s="231" t="s">
        <v>138</v>
      </c>
      <c r="B701" s="231"/>
      <c r="C701" s="231"/>
      <c r="D701" s="231"/>
      <c r="E701" s="231"/>
      <c r="F701" s="231"/>
      <c r="G701" s="231"/>
      <c r="H701" s="231"/>
    </row>
    <row r="702" spans="1:8" ht="13.95" customHeight="1" x14ac:dyDescent="0.3">
      <c r="A702" s="232" t="s">
        <v>173</v>
      </c>
      <c r="B702" s="232"/>
      <c r="C702" s="232"/>
      <c r="D702" s="232"/>
      <c r="E702" s="232"/>
      <c r="F702" s="232"/>
      <c r="G702" s="232"/>
      <c r="H702" s="232"/>
    </row>
    <row r="703" spans="1:8" x14ac:dyDescent="0.3">
      <c r="A703" s="232"/>
      <c r="B703" s="232"/>
      <c r="C703" s="232"/>
      <c r="D703" s="232"/>
      <c r="E703" s="232"/>
      <c r="F703" s="232"/>
      <c r="G703" s="232"/>
      <c r="H703" s="232"/>
    </row>
    <row r="704" spans="1:8" x14ac:dyDescent="0.3">
      <c r="A704" s="232"/>
      <c r="B704" s="232"/>
      <c r="C704" s="232"/>
      <c r="D704" s="232"/>
      <c r="E704" s="232"/>
      <c r="F704" s="232"/>
      <c r="G704" s="232"/>
      <c r="H704" s="232"/>
    </row>
    <row r="705" spans="1:8" x14ac:dyDescent="0.3">
      <c r="A705" s="232"/>
      <c r="B705" s="232"/>
      <c r="C705" s="232"/>
      <c r="D705" s="232"/>
      <c r="E705" s="232"/>
      <c r="F705" s="232"/>
      <c r="G705" s="232"/>
      <c r="H705" s="232"/>
    </row>
    <row r="706" spans="1:8" x14ac:dyDescent="0.3">
      <c r="A706" s="232"/>
      <c r="B706" s="232"/>
      <c r="C706" s="232"/>
      <c r="D706" s="232"/>
      <c r="E706" s="232"/>
      <c r="F706" s="232"/>
      <c r="G706" s="232"/>
      <c r="H706" s="232"/>
    </row>
  </sheetData>
  <sortState xmlns:xlrd2="http://schemas.microsoft.com/office/spreadsheetml/2017/richdata2" ref="O412:O451">
    <sortCondition ref="O412:O451"/>
  </sortState>
  <mergeCells count="195">
    <mergeCell ref="A701:H701"/>
    <mergeCell ref="A678:H678"/>
    <mergeCell ref="A691:C691"/>
    <mergeCell ref="A702:H706"/>
    <mergeCell ref="A468:H468"/>
    <mergeCell ref="C474:D474"/>
    <mergeCell ref="C475:D475"/>
    <mergeCell ref="C476:D476"/>
    <mergeCell ref="C477:D477"/>
    <mergeCell ref="C480:E480"/>
    <mergeCell ref="A622:H622"/>
    <mergeCell ref="A638:B638"/>
    <mergeCell ref="A650:H650"/>
    <mergeCell ref="A634:A636"/>
    <mergeCell ref="G643:H643"/>
    <mergeCell ref="G644:H644"/>
    <mergeCell ref="A652:H652"/>
    <mergeCell ref="A667:B667"/>
    <mergeCell ref="A663:A665"/>
    <mergeCell ref="A604:B604"/>
    <mergeCell ref="D604:G604"/>
    <mergeCell ref="H611:H616"/>
    <mergeCell ref="A620:H620"/>
    <mergeCell ref="A536:H536"/>
    <mergeCell ref="A581:B581"/>
    <mergeCell ref="A583:B583"/>
    <mergeCell ref="A582:B582"/>
    <mergeCell ref="A584:B584"/>
    <mergeCell ref="A585:B585"/>
    <mergeCell ref="A586:B586"/>
    <mergeCell ref="A587:B589"/>
    <mergeCell ref="A591:H591"/>
    <mergeCell ref="A440:H440"/>
    <mergeCell ref="C451:D451"/>
    <mergeCell ref="K453:L453"/>
    <mergeCell ref="M453:N453"/>
    <mergeCell ref="A521:H521"/>
    <mergeCell ref="E524:F524"/>
    <mergeCell ref="C532:D532"/>
    <mergeCell ref="C533:D533"/>
    <mergeCell ref="E525:F526"/>
    <mergeCell ref="G525:G526"/>
    <mergeCell ref="C469:D469"/>
    <mergeCell ref="C470:D470"/>
    <mergeCell ref="C471:D471"/>
    <mergeCell ref="C472:D472"/>
    <mergeCell ref="C473:D473"/>
    <mergeCell ref="A88:H88"/>
    <mergeCell ref="A179:H179"/>
    <mergeCell ref="A105:H105"/>
    <mergeCell ref="A124:H124"/>
    <mergeCell ref="B125:H125"/>
    <mergeCell ref="B126:H126"/>
    <mergeCell ref="A1:H1"/>
    <mergeCell ref="A18:H18"/>
    <mergeCell ref="A39:H39"/>
    <mergeCell ref="A56:H56"/>
    <mergeCell ref="A71:H71"/>
    <mergeCell ref="B127:H127"/>
    <mergeCell ref="A129:H129"/>
    <mergeCell ref="D130:F130"/>
    <mergeCell ref="D131:F131"/>
    <mergeCell ref="D132:F132"/>
    <mergeCell ref="D133:F133"/>
    <mergeCell ref="D134:F134"/>
    <mergeCell ref="D135:F135"/>
    <mergeCell ref="D136:F136"/>
    <mergeCell ref="D137:F137"/>
    <mergeCell ref="D138:F138"/>
    <mergeCell ref="D139:F139"/>
    <mergeCell ref="D168:F168"/>
    <mergeCell ref="A149:A151"/>
    <mergeCell ref="A153:H153"/>
    <mergeCell ref="A175:A177"/>
    <mergeCell ref="D154:F154"/>
    <mergeCell ref="D155:F155"/>
    <mergeCell ref="D156:F156"/>
    <mergeCell ref="D157:F157"/>
    <mergeCell ref="D158:F158"/>
    <mergeCell ref="D159:F159"/>
    <mergeCell ref="D172:F172"/>
    <mergeCell ref="D173:F173"/>
    <mergeCell ref="D166:F166"/>
    <mergeCell ref="D167:F167"/>
    <mergeCell ref="D291:F291"/>
    <mergeCell ref="D292:F292"/>
    <mergeCell ref="D293:F293"/>
    <mergeCell ref="D294:F294"/>
    <mergeCell ref="D140:F140"/>
    <mergeCell ref="D141:F141"/>
    <mergeCell ref="D142:F142"/>
    <mergeCell ref="D143:F143"/>
    <mergeCell ref="D144:F144"/>
    <mergeCell ref="D145:F145"/>
    <mergeCell ref="D169:F169"/>
    <mergeCell ref="D170:F170"/>
    <mergeCell ref="D171:F171"/>
    <mergeCell ref="D160:F160"/>
    <mergeCell ref="D161:F161"/>
    <mergeCell ref="D162:F162"/>
    <mergeCell ref="D163:F163"/>
    <mergeCell ref="D164:F164"/>
    <mergeCell ref="D165:F165"/>
    <mergeCell ref="D186:F186"/>
    <mergeCell ref="D187:F187"/>
    <mergeCell ref="D188:F188"/>
    <mergeCell ref="D189:F189"/>
    <mergeCell ref="D190:F190"/>
    <mergeCell ref="A196:A198"/>
    <mergeCell ref="D180:F180"/>
    <mergeCell ref="D181:F181"/>
    <mergeCell ref="D182:F182"/>
    <mergeCell ref="D183:F183"/>
    <mergeCell ref="D184:F184"/>
    <mergeCell ref="D185:F185"/>
    <mergeCell ref="A200:H200"/>
    <mergeCell ref="A215:A217"/>
    <mergeCell ref="D201:F201"/>
    <mergeCell ref="D202:F202"/>
    <mergeCell ref="D203:F203"/>
    <mergeCell ref="D204:F204"/>
    <mergeCell ref="D205:F205"/>
    <mergeCell ref="D206:F206"/>
    <mergeCell ref="D207:F207"/>
    <mergeCell ref="D208:F208"/>
    <mergeCell ref="D209:F209"/>
    <mergeCell ref="A219:H219"/>
    <mergeCell ref="A238:A240"/>
    <mergeCell ref="D220:F220"/>
    <mergeCell ref="D221:F221"/>
    <mergeCell ref="D222:F222"/>
    <mergeCell ref="D223:F223"/>
    <mergeCell ref="D224:F224"/>
    <mergeCell ref="D225:F225"/>
    <mergeCell ref="D226:F226"/>
    <mergeCell ref="A260:A262"/>
    <mergeCell ref="A264:H264"/>
    <mergeCell ref="D244:F244"/>
    <mergeCell ref="D245:F245"/>
    <mergeCell ref="D246:F246"/>
    <mergeCell ref="D247:F247"/>
    <mergeCell ref="D248:F248"/>
    <mergeCell ref="D249:F249"/>
    <mergeCell ref="D227:F227"/>
    <mergeCell ref="D228:F228"/>
    <mergeCell ref="D229:F229"/>
    <mergeCell ref="D230:F230"/>
    <mergeCell ref="A242:H242"/>
    <mergeCell ref="D243:F243"/>
    <mergeCell ref="D265:F265"/>
    <mergeCell ref="D266:F266"/>
    <mergeCell ref="D267:F267"/>
    <mergeCell ref="D268:F268"/>
    <mergeCell ref="D269:F269"/>
    <mergeCell ref="D270:F270"/>
    <mergeCell ref="D250:F250"/>
    <mergeCell ref="D251:F251"/>
    <mergeCell ref="D252:F252"/>
    <mergeCell ref="D253:F253"/>
    <mergeCell ref="D277:F277"/>
    <mergeCell ref="A283:A285"/>
    <mergeCell ref="A287:H287"/>
    <mergeCell ref="D288:F288"/>
    <mergeCell ref="D289:F289"/>
    <mergeCell ref="D290:F290"/>
    <mergeCell ref="D271:F271"/>
    <mergeCell ref="D272:F272"/>
    <mergeCell ref="D273:F273"/>
    <mergeCell ref="D274:F274"/>
    <mergeCell ref="D275:F275"/>
    <mergeCell ref="D276:F276"/>
    <mergeCell ref="A309:A311"/>
    <mergeCell ref="A313:H313"/>
    <mergeCell ref="A328:H328"/>
    <mergeCell ref="A333:H333"/>
    <mergeCell ref="A343:H343"/>
    <mergeCell ref="D295:F295"/>
    <mergeCell ref="D296:F296"/>
    <mergeCell ref="D297:F297"/>
    <mergeCell ref="D298:F298"/>
    <mergeCell ref="D299:F299"/>
    <mergeCell ref="D300:F300"/>
    <mergeCell ref="A397:H397"/>
    <mergeCell ref="A380:H380"/>
    <mergeCell ref="A388:B388"/>
    <mergeCell ref="A366:B366"/>
    <mergeCell ref="A391:H391"/>
    <mergeCell ref="A393:H393"/>
    <mergeCell ref="D395:H395"/>
    <mergeCell ref="A353:H353"/>
    <mergeCell ref="A369:H369"/>
    <mergeCell ref="A371:H371"/>
    <mergeCell ref="D373:H373"/>
    <mergeCell ref="A375:H375"/>
    <mergeCell ref="A358:H35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18" sqref="J18"/>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633"/>
  <sheetViews>
    <sheetView topLeftCell="A1571" zoomScale="70" zoomScaleNormal="70" workbookViewId="0">
      <selection activeCell="A1589" sqref="A1589:H1589"/>
    </sheetView>
  </sheetViews>
  <sheetFormatPr defaultColWidth="8.88671875" defaultRowHeight="15.6" x14ac:dyDescent="0.3"/>
  <cols>
    <col min="1" max="1" width="15.88671875" style="24" customWidth="1"/>
    <col min="2" max="3" width="14.33203125" style="24" bestFit="1" customWidth="1"/>
    <col min="4" max="4" width="12.5546875" style="24" customWidth="1"/>
    <col min="5" max="6" width="11.6640625" style="24" customWidth="1"/>
    <col min="7" max="7" width="10.44140625" style="24" customWidth="1"/>
    <col min="8" max="8" width="23.33203125" style="24" customWidth="1"/>
    <col min="9" max="9" width="13.44140625" style="24" bestFit="1" customWidth="1"/>
    <col min="10" max="10" width="14.6640625" style="24" customWidth="1"/>
    <col min="11" max="14" width="8.88671875" style="24"/>
    <col min="15" max="15" width="12.33203125" style="24" bestFit="1" customWidth="1"/>
    <col min="16" max="16" width="8.88671875" style="24"/>
    <col min="17" max="17" width="13.44140625" style="24" bestFit="1" customWidth="1"/>
    <col min="18" max="16384" width="8.88671875" style="24"/>
  </cols>
  <sheetData>
    <row r="1" spans="1:13" ht="18" customHeight="1" thickBot="1" x14ac:dyDescent="0.35">
      <c r="A1" s="338" t="s">
        <v>0</v>
      </c>
      <c r="B1" s="339"/>
      <c r="C1" s="339"/>
      <c r="D1" s="339"/>
      <c r="E1" s="339"/>
      <c r="F1" s="339"/>
      <c r="G1" s="339"/>
      <c r="H1" s="340"/>
      <c r="I1" s="187"/>
      <c r="J1" s="187"/>
    </row>
    <row r="2" spans="1:13" x14ac:dyDescent="0.3">
      <c r="B2" s="25" t="s">
        <v>717</v>
      </c>
      <c r="C2" s="25" t="s">
        <v>718</v>
      </c>
      <c r="D2"/>
      <c r="E2"/>
      <c r="G2"/>
      <c r="I2" s="24" t="s">
        <v>569</v>
      </c>
    </row>
    <row r="3" spans="1:13" x14ac:dyDescent="0.3">
      <c r="A3" s="24">
        <v>1</v>
      </c>
      <c r="B3" s="24">
        <v>81</v>
      </c>
      <c r="C3" s="24">
        <v>76</v>
      </c>
      <c r="D3" s="24">
        <f>B3-$B$13</f>
        <v>2.4000000000000057</v>
      </c>
      <c r="E3" s="24">
        <f>D3*D3</f>
        <v>5.7600000000000273</v>
      </c>
      <c r="F3" s="24">
        <f>C3-$C$13</f>
        <v>-0.70000000000000284</v>
      </c>
      <c r="G3" s="24">
        <f>F3*F3</f>
        <v>0.49000000000000399</v>
      </c>
      <c r="H3" s="24">
        <f>D3*F3</f>
        <v>-1.6800000000000108</v>
      </c>
      <c r="I3" s="24">
        <v>10</v>
      </c>
    </row>
    <row r="4" spans="1:13" x14ac:dyDescent="0.3">
      <c r="A4" s="24">
        <v>2</v>
      </c>
      <c r="B4" s="24">
        <v>62</v>
      </c>
      <c r="C4" s="24">
        <v>71</v>
      </c>
      <c r="D4" s="24">
        <f t="shared" ref="D4:D12" si="0">B4-$B$13</f>
        <v>-16.599999999999994</v>
      </c>
      <c r="E4" s="24">
        <f t="shared" ref="E4:E12" si="1">D4*D4</f>
        <v>275.55999999999983</v>
      </c>
      <c r="F4" s="24">
        <f t="shared" ref="F4:F12" si="2">C4-$C$13</f>
        <v>-5.7000000000000028</v>
      </c>
      <c r="G4" s="24">
        <f t="shared" ref="G4:G12" si="3">F4*F4</f>
        <v>32.49000000000003</v>
      </c>
      <c r="H4" s="24">
        <f t="shared" ref="H4:H12" si="4">D4*F4</f>
        <v>94.620000000000019</v>
      </c>
    </row>
    <row r="5" spans="1:13" x14ac:dyDescent="0.3">
      <c r="A5" s="24">
        <v>3</v>
      </c>
      <c r="B5" s="24">
        <v>74</v>
      </c>
      <c r="C5" s="24">
        <v>69</v>
      </c>
      <c r="D5" s="24">
        <f t="shared" si="0"/>
        <v>-4.5999999999999943</v>
      </c>
      <c r="E5" s="24">
        <f t="shared" si="1"/>
        <v>21.159999999999947</v>
      </c>
      <c r="F5" s="24">
        <f t="shared" si="2"/>
        <v>-7.7000000000000028</v>
      </c>
      <c r="G5" s="24">
        <f t="shared" si="3"/>
        <v>59.290000000000042</v>
      </c>
      <c r="H5" s="24">
        <f t="shared" si="4"/>
        <v>35.419999999999966</v>
      </c>
    </row>
    <row r="6" spans="1:13" x14ac:dyDescent="0.3">
      <c r="A6" s="24">
        <v>4</v>
      </c>
      <c r="B6" s="24">
        <v>78</v>
      </c>
      <c r="C6" s="24">
        <v>76</v>
      </c>
      <c r="D6" s="24">
        <f t="shared" si="0"/>
        <v>-0.59999999999999432</v>
      </c>
      <c r="E6" s="24">
        <f t="shared" si="1"/>
        <v>0.35999999999999316</v>
      </c>
      <c r="F6" s="24">
        <f t="shared" si="2"/>
        <v>-0.70000000000000284</v>
      </c>
      <c r="G6" s="24">
        <f t="shared" si="3"/>
        <v>0.49000000000000399</v>
      </c>
      <c r="H6" s="24">
        <f t="shared" si="4"/>
        <v>0.41999999999999771</v>
      </c>
    </row>
    <row r="7" spans="1:13" x14ac:dyDescent="0.3">
      <c r="A7" s="24">
        <v>5</v>
      </c>
      <c r="B7" s="24">
        <v>93</v>
      </c>
      <c r="C7" s="24">
        <v>87</v>
      </c>
      <c r="D7" s="24">
        <f t="shared" si="0"/>
        <v>14.400000000000006</v>
      </c>
      <c r="E7" s="24">
        <f t="shared" si="1"/>
        <v>207.36000000000016</v>
      </c>
      <c r="F7" s="24">
        <f t="shared" si="2"/>
        <v>10.299999999999997</v>
      </c>
      <c r="G7" s="24">
        <f t="shared" si="3"/>
        <v>106.08999999999995</v>
      </c>
      <c r="H7" s="24">
        <f t="shared" si="4"/>
        <v>148.32000000000002</v>
      </c>
      <c r="I7"/>
    </row>
    <row r="8" spans="1:13" x14ac:dyDescent="0.3">
      <c r="A8" s="24">
        <v>6</v>
      </c>
      <c r="B8" s="24">
        <v>69</v>
      </c>
      <c r="C8" s="24">
        <v>62</v>
      </c>
      <c r="D8" s="24">
        <f t="shared" si="0"/>
        <v>-9.5999999999999943</v>
      </c>
      <c r="E8" s="24">
        <f t="shared" si="1"/>
        <v>92.159999999999897</v>
      </c>
      <c r="F8" s="24">
        <f t="shared" si="2"/>
        <v>-14.700000000000003</v>
      </c>
      <c r="G8" s="24">
        <f t="shared" si="3"/>
        <v>216.09000000000009</v>
      </c>
      <c r="H8" s="24">
        <f t="shared" si="4"/>
        <v>141.11999999999995</v>
      </c>
    </row>
    <row r="9" spans="1:13" x14ac:dyDescent="0.3">
      <c r="A9" s="24">
        <v>7</v>
      </c>
      <c r="B9" s="24">
        <v>72</v>
      </c>
      <c r="C9" s="24">
        <v>80</v>
      </c>
      <c r="D9" s="24">
        <f t="shared" si="0"/>
        <v>-6.5999999999999943</v>
      </c>
      <c r="E9" s="24">
        <f t="shared" si="1"/>
        <v>43.559999999999924</v>
      </c>
      <c r="F9" s="24">
        <f t="shared" si="2"/>
        <v>3.2999999999999972</v>
      </c>
      <c r="G9" s="24">
        <f t="shared" si="3"/>
        <v>10.889999999999981</v>
      </c>
      <c r="H9" s="24">
        <f t="shared" si="4"/>
        <v>-21.779999999999962</v>
      </c>
    </row>
    <row r="10" spans="1:13" x14ac:dyDescent="0.3">
      <c r="A10" s="24">
        <v>8</v>
      </c>
      <c r="B10" s="24">
        <v>83</v>
      </c>
      <c r="C10" s="24">
        <v>75</v>
      </c>
      <c r="D10" s="24">
        <f t="shared" si="0"/>
        <v>4.4000000000000057</v>
      </c>
      <c r="E10" s="24">
        <f t="shared" si="1"/>
        <v>19.360000000000049</v>
      </c>
      <c r="F10" s="24">
        <f t="shared" si="2"/>
        <v>-1.7000000000000028</v>
      </c>
      <c r="G10" s="24">
        <f t="shared" si="3"/>
        <v>2.8900000000000095</v>
      </c>
      <c r="H10" s="24">
        <f t="shared" si="4"/>
        <v>-7.4800000000000217</v>
      </c>
    </row>
    <row r="11" spans="1:13" x14ac:dyDescent="0.3">
      <c r="A11" s="24">
        <v>9</v>
      </c>
      <c r="B11" s="24">
        <v>90</v>
      </c>
      <c r="C11" s="24">
        <v>92</v>
      </c>
      <c r="D11" s="24">
        <f t="shared" si="0"/>
        <v>11.400000000000006</v>
      </c>
      <c r="E11" s="24">
        <f t="shared" si="1"/>
        <v>129.96000000000012</v>
      </c>
      <c r="F11" s="24">
        <f t="shared" si="2"/>
        <v>15.299999999999997</v>
      </c>
      <c r="G11" s="24">
        <f t="shared" si="3"/>
        <v>234.08999999999992</v>
      </c>
      <c r="H11" s="24">
        <f t="shared" si="4"/>
        <v>174.42000000000004</v>
      </c>
    </row>
    <row r="12" spans="1:13" x14ac:dyDescent="0.3">
      <c r="A12" s="24">
        <v>10</v>
      </c>
      <c r="B12" s="24">
        <v>84</v>
      </c>
      <c r="C12" s="24">
        <v>79</v>
      </c>
      <c r="D12" s="24">
        <f t="shared" si="0"/>
        <v>5.4000000000000057</v>
      </c>
      <c r="E12" s="24">
        <f t="shared" si="1"/>
        <v>29.160000000000061</v>
      </c>
      <c r="F12" s="24">
        <f t="shared" si="2"/>
        <v>2.2999999999999972</v>
      </c>
      <c r="G12" s="24">
        <f t="shared" si="3"/>
        <v>5.2899999999999867</v>
      </c>
      <c r="H12" s="24">
        <f t="shared" si="4"/>
        <v>12.419999999999998</v>
      </c>
      <c r="M12"/>
    </row>
    <row r="13" spans="1:13" x14ac:dyDescent="0.3">
      <c r="B13" s="24">
        <f>AVERAGE(B3:B12)</f>
        <v>78.599999999999994</v>
      </c>
      <c r="C13" s="24">
        <f>AVERAGE(C3:C12)</f>
        <v>76.7</v>
      </c>
    </row>
    <row r="14" spans="1:13" x14ac:dyDescent="0.3">
      <c r="D14" s="186"/>
      <c r="E14" s="186">
        <f>SUM(E3:E12)</f>
        <v>824.40000000000009</v>
      </c>
      <c r="G14" s="24">
        <f>SUM(G3:G12)</f>
        <v>668.09999999999991</v>
      </c>
      <c r="H14" s="24">
        <f>SUM(H3:H12)</f>
        <v>575.79999999999995</v>
      </c>
    </row>
    <row r="15" spans="1:13" x14ac:dyDescent="0.3">
      <c r="A15"/>
    </row>
    <row r="16" spans="1:13" x14ac:dyDescent="0.3">
      <c r="F16" s="24" t="s">
        <v>316</v>
      </c>
      <c r="G16" s="189">
        <f>H14/SQRT(E14*G14)</f>
        <v>0.77585744715365967</v>
      </c>
      <c r="H16" s="24" t="s">
        <v>720</v>
      </c>
    </row>
    <row r="19" spans="1:8" x14ac:dyDescent="0.3">
      <c r="A19" s="24" t="s">
        <v>719</v>
      </c>
    </row>
    <row r="20" spans="1:8" x14ac:dyDescent="0.3">
      <c r="B20" s="25" t="s">
        <v>717</v>
      </c>
      <c r="D20" s="25" t="s">
        <v>718</v>
      </c>
    </row>
    <row r="21" spans="1:8" x14ac:dyDescent="0.3">
      <c r="A21" s="24">
        <v>1</v>
      </c>
      <c r="B21" s="24">
        <v>81</v>
      </c>
      <c r="C21" s="24">
        <f>(B21-$B$31)^2</f>
        <v>5.7600000000000273</v>
      </c>
      <c r="D21" s="24">
        <v>76</v>
      </c>
      <c r="E21" s="24">
        <f>(D21-$D$31)^2</f>
        <v>0.49000000000000399</v>
      </c>
      <c r="F21" s="24">
        <f>B21-$B$31</f>
        <v>2.4000000000000057</v>
      </c>
      <c r="G21" s="24">
        <f>D21-$D$31</f>
        <v>-0.70000000000000284</v>
      </c>
      <c r="H21" s="24">
        <f>F21*G21</f>
        <v>-1.6800000000000108</v>
      </c>
    </row>
    <row r="22" spans="1:8" x14ac:dyDescent="0.3">
      <c r="A22" s="24">
        <v>2</v>
      </c>
      <c r="B22" s="24">
        <v>62</v>
      </c>
      <c r="C22" s="24">
        <f t="shared" ref="C22:C30" si="5">(B22-$B$31)^2</f>
        <v>275.55999999999983</v>
      </c>
      <c r="D22" s="24">
        <v>71</v>
      </c>
      <c r="E22" s="24">
        <f t="shared" ref="E22:E30" si="6">(D22-$D$31)^2</f>
        <v>32.49000000000003</v>
      </c>
      <c r="F22" s="24">
        <f t="shared" ref="F22:F30" si="7">B22-$B$31</f>
        <v>-16.599999999999994</v>
      </c>
      <c r="G22" s="24">
        <f t="shared" ref="G22:G30" si="8">D22-$D$31</f>
        <v>-5.7000000000000028</v>
      </c>
      <c r="H22" s="24">
        <f t="shared" ref="H22:H30" si="9">F22*G22</f>
        <v>94.620000000000019</v>
      </c>
    </row>
    <row r="23" spans="1:8" x14ac:dyDescent="0.3">
      <c r="A23" s="24">
        <v>3</v>
      </c>
      <c r="B23" s="24">
        <v>74</v>
      </c>
      <c r="C23" s="24">
        <f t="shared" si="5"/>
        <v>21.159999999999947</v>
      </c>
      <c r="D23" s="24">
        <v>69</v>
      </c>
      <c r="E23" s="24">
        <f t="shared" si="6"/>
        <v>59.290000000000042</v>
      </c>
      <c r="F23" s="24">
        <f t="shared" si="7"/>
        <v>-4.5999999999999943</v>
      </c>
      <c r="G23" s="24">
        <f t="shared" si="8"/>
        <v>-7.7000000000000028</v>
      </c>
      <c r="H23" s="24">
        <f t="shared" si="9"/>
        <v>35.419999999999966</v>
      </c>
    </row>
    <row r="24" spans="1:8" x14ac:dyDescent="0.3">
      <c r="A24" s="24">
        <v>4</v>
      </c>
      <c r="B24" s="24">
        <v>78</v>
      </c>
      <c r="C24" s="24">
        <f t="shared" si="5"/>
        <v>0.35999999999999316</v>
      </c>
      <c r="D24" s="24">
        <v>76</v>
      </c>
      <c r="E24" s="24">
        <f t="shared" si="6"/>
        <v>0.49000000000000399</v>
      </c>
      <c r="F24" s="24">
        <f t="shared" si="7"/>
        <v>-0.59999999999999432</v>
      </c>
      <c r="G24" s="24">
        <f t="shared" si="8"/>
        <v>-0.70000000000000284</v>
      </c>
      <c r="H24" s="24">
        <f t="shared" si="9"/>
        <v>0.41999999999999771</v>
      </c>
    </row>
    <row r="25" spans="1:8" x14ac:dyDescent="0.3">
      <c r="A25" s="24">
        <v>5</v>
      </c>
      <c r="B25" s="24">
        <v>93</v>
      </c>
      <c r="C25" s="24">
        <f t="shared" si="5"/>
        <v>207.36000000000016</v>
      </c>
      <c r="D25" s="24">
        <v>87</v>
      </c>
      <c r="E25" s="24">
        <f t="shared" si="6"/>
        <v>106.08999999999995</v>
      </c>
      <c r="F25" s="24">
        <f t="shared" si="7"/>
        <v>14.400000000000006</v>
      </c>
      <c r="G25" s="24">
        <f t="shared" si="8"/>
        <v>10.299999999999997</v>
      </c>
      <c r="H25" s="24">
        <f t="shared" si="9"/>
        <v>148.32000000000002</v>
      </c>
    </row>
    <row r="26" spans="1:8" x14ac:dyDescent="0.3">
      <c r="A26" s="24">
        <v>6</v>
      </c>
      <c r="B26" s="24">
        <v>69</v>
      </c>
      <c r="C26" s="24">
        <f t="shared" si="5"/>
        <v>92.159999999999897</v>
      </c>
      <c r="D26" s="24">
        <v>62</v>
      </c>
      <c r="E26" s="24">
        <f t="shared" si="6"/>
        <v>216.09000000000009</v>
      </c>
      <c r="F26" s="24">
        <f t="shared" si="7"/>
        <v>-9.5999999999999943</v>
      </c>
      <c r="G26" s="24">
        <f t="shared" si="8"/>
        <v>-14.700000000000003</v>
      </c>
      <c r="H26" s="24">
        <f t="shared" si="9"/>
        <v>141.11999999999995</v>
      </c>
    </row>
    <row r="27" spans="1:8" x14ac:dyDescent="0.3">
      <c r="A27" s="24">
        <v>7</v>
      </c>
      <c r="B27" s="24">
        <v>72</v>
      </c>
      <c r="C27" s="24">
        <f t="shared" si="5"/>
        <v>43.559999999999924</v>
      </c>
      <c r="D27" s="24">
        <v>80</v>
      </c>
      <c r="E27" s="24">
        <f t="shared" si="6"/>
        <v>10.889999999999981</v>
      </c>
      <c r="F27" s="24">
        <f t="shared" si="7"/>
        <v>-6.5999999999999943</v>
      </c>
      <c r="G27" s="24">
        <f t="shared" si="8"/>
        <v>3.2999999999999972</v>
      </c>
      <c r="H27" s="24">
        <f t="shared" si="9"/>
        <v>-21.779999999999962</v>
      </c>
    </row>
    <row r="28" spans="1:8" x14ac:dyDescent="0.3">
      <c r="A28" s="24">
        <v>8</v>
      </c>
      <c r="B28" s="24">
        <v>83</v>
      </c>
      <c r="C28" s="24">
        <f t="shared" si="5"/>
        <v>19.360000000000049</v>
      </c>
      <c r="D28" s="24">
        <v>75</v>
      </c>
      <c r="E28" s="24">
        <f t="shared" si="6"/>
        <v>2.8900000000000095</v>
      </c>
      <c r="F28" s="24">
        <f t="shared" si="7"/>
        <v>4.4000000000000057</v>
      </c>
      <c r="G28" s="24">
        <f t="shared" si="8"/>
        <v>-1.7000000000000028</v>
      </c>
      <c r="H28" s="24">
        <f t="shared" si="9"/>
        <v>-7.4800000000000217</v>
      </c>
    </row>
    <row r="29" spans="1:8" x14ac:dyDescent="0.3">
      <c r="A29" s="24">
        <v>9</v>
      </c>
      <c r="B29" s="24">
        <v>90</v>
      </c>
      <c r="C29" s="24">
        <f t="shared" si="5"/>
        <v>129.96000000000012</v>
      </c>
      <c r="D29" s="24">
        <v>92</v>
      </c>
      <c r="E29" s="24">
        <f t="shared" si="6"/>
        <v>234.08999999999992</v>
      </c>
      <c r="F29" s="24">
        <f t="shared" si="7"/>
        <v>11.400000000000006</v>
      </c>
      <c r="G29" s="24">
        <f t="shared" si="8"/>
        <v>15.299999999999997</v>
      </c>
      <c r="H29" s="24">
        <f t="shared" si="9"/>
        <v>174.42000000000004</v>
      </c>
    </row>
    <row r="30" spans="1:8" x14ac:dyDescent="0.3">
      <c r="A30" s="24">
        <v>10</v>
      </c>
      <c r="B30" s="24">
        <v>84</v>
      </c>
      <c r="C30" s="24">
        <f t="shared" si="5"/>
        <v>29.160000000000061</v>
      </c>
      <c r="D30" s="24">
        <v>79</v>
      </c>
      <c r="E30" s="24">
        <f t="shared" si="6"/>
        <v>5.2899999999999867</v>
      </c>
      <c r="F30" s="24">
        <f t="shared" si="7"/>
        <v>5.4000000000000057</v>
      </c>
      <c r="G30" s="24">
        <f t="shared" si="8"/>
        <v>2.2999999999999972</v>
      </c>
      <c r="H30" s="24">
        <f t="shared" si="9"/>
        <v>12.419999999999998</v>
      </c>
    </row>
    <row r="31" spans="1:8" ht="18" customHeight="1" x14ac:dyDescent="0.3">
      <c r="A31" s="24" t="s">
        <v>3</v>
      </c>
      <c r="B31" s="24">
        <f>AVERAGE(B21:B30)</f>
        <v>78.599999999999994</v>
      </c>
      <c r="D31" s="24">
        <f>AVERAGE(D21:D30)</f>
        <v>76.7</v>
      </c>
    </row>
    <row r="32" spans="1:8" ht="18" customHeight="1" x14ac:dyDescent="0.3">
      <c r="A32" s="24" t="s">
        <v>98</v>
      </c>
      <c r="H32" s="24">
        <f>SUM(H21:H30)</f>
        <v>575.79999999999995</v>
      </c>
    </row>
    <row r="33" spans="1:8" ht="18" customHeight="1" x14ac:dyDescent="0.3">
      <c r="A33" s="24" t="s">
        <v>134</v>
      </c>
      <c r="B33" s="24">
        <f>VAR(B21:B30)</f>
        <v>91.600000000000165</v>
      </c>
      <c r="C33" s="24">
        <f>SUM(C21:C30)/9</f>
        <v>91.600000000000009</v>
      </c>
      <c r="D33" s="24">
        <f>VAR(D21:D30)</f>
        <v>74.233333333333178</v>
      </c>
      <c r="E33" s="24">
        <f>SUM(E21:E30)/9</f>
        <v>74.23333333333332</v>
      </c>
    </row>
    <row r="34" spans="1:8" ht="28.95" customHeight="1" x14ac:dyDescent="0.3">
      <c r="A34" s="24" t="s">
        <v>4</v>
      </c>
      <c r="B34" s="24">
        <f>STDEV(B21:B30)</f>
        <v>9.5707888912043284</v>
      </c>
      <c r="C34" s="24">
        <f>SQRT(C33)</f>
        <v>9.5707888912043195</v>
      </c>
      <c r="D34" s="24">
        <f>STDEV(D21:D30)</f>
        <v>8.615876817441924</v>
      </c>
      <c r="E34" s="24">
        <f>SQRT(E33)</f>
        <v>8.6158768174419329</v>
      </c>
    </row>
    <row r="37" spans="1:8" x14ac:dyDescent="0.3">
      <c r="A37"/>
      <c r="F37" s="24" t="s">
        <v>316</v>
      </c>
      <c r="G37" s="189">
        <f>(1/9)*H32/(C34*E34)</f>
        <v>0.77585744715365956</v>
      </c>
      <c r="H37" s="24" t="s">
        <v>720</v>
      </c>
    </row>
    <row r="39" spans="1:8" ht="16.2" thickBot="1" x14ac:dyDescent="0.35"/>
    <row r="40" spans="1:8" ht="18" thickBot="1" x14ac:dyDescent="0.35">
      <c r="A40" s="338" t="s">
        <v>7</v>
      </c>
      <c r="B40" s="339"/>
      <c r="C40" s="339"/>
      <c r="D40" s="339"/>
      <c r="E40" s="339"/>
      <c r="F40" s="339"/>
      <c r="G40" s="339"/>
      <c r="H40" s="340"/>
    </row>
    <row r="41" spans="1:8" x14ac:dyDescent="0.3">
      <c r="A41" s="25"/>
      <c r="B41" s="83"/>
      <c r="C41" s="25"/>
      <c r="D41" s="83"/>
      <c r="E41" s="25"/>
      <c r="F41" s="25"/>
      <c r="G41" s="25"/>
      <c r="H41" s="25"/>
    </row>
    <row r="42" spans="1:8" x14ac:dyDescent="0.3">
      <c r="A42" s="24">
        <v>1</v>
      </c>
      <c r="B42" s="24">
        <v>1.5</v>
      </c>
      <c r="C42" s="24">
        <f>(B42-$B$56)^2</f>
        <v>0.89520710059171593</v>
      </c>
      <c r="D42" s="24">
        <v>14.9</v>
      </c>
      <c r="E42" s="24">
        <f>(D42-$D$56)^2</f>
        <v>9.5148520710059046</v>
      </c>
      <c r="F42" s="24">
        <f>B42-$B$56</f>
        <v>0.94615384615384612</v>
      </c>
      <c r="G42" s="24">
        <f>D42-$D$56</f>
        <v>3.0846153846153825</v>
      </c>
      <c r="H42" s="24">
        <f>F42*G42</f>
        <v>2.9185207100591697</v>
      </c>
    </row>
    <row r="43" spans="1:8" x14ac:dyDescent="0.3">
      <c r="A43" s="24">
        <v>2</v>
      </c>
      <c r="B43" s="24">
        <v>0.2</v>
      </c>
      <c r="C43" s="24">
        <f t="shared" ref="C43:C54" si="10">(B43-$B$56)^2</f>
        <v>0.125207100591716</v>
      </c>
      <c r="D43" s="24">
        <v>-9.1999999999999993</v>
      </c>
      <c r="E43" s="24">
        <f t="shared" ref="E43:E54" si="11">(D43-$D$56)^2</f>
        <v>441.6463905325445</v>
      </c>
      <c r="F43" s="24">
        <f t="shared" ref="F43:F54" si="12">B43-$B$56</f>
        <v>-0.35384615384615387</v>
      </c>
      <c r="G43" s="24">
        <f t="shared" ref="G43:G54" si="13">D43-$D$56</f>
        <v>-21.015384615384619</v>
      </c>
      <c r="H43" s="24">
        <f t="shared" ref="H43:H54" si="14">F43*G43</f>
        <v>7.4362130177514807</v>
      </c>
    </row>
    <row r="44" spans="1:8" x14ac:dyDescent="0.3">
      <c r="A44" s="24">
        <v>3</v>
      </c>
      <c r="B44" s="24">
        <v>-0.1</v>
      </c>
      <c r="C44" s="24">
        <f t="shared" si="10"/>
        <v>0.4275147928994083</v>
      </c>
      <c r="D44" s="24">
        <v>19.600000000000001</v>
      </c>
      <c r="E44" s="24">
        <f t="shared" si="11"/>
        <v>60.600236686390517</v>
      </c>
      <c r="F44" s="24">
        <f t="shared" si="12"/>
        <v>-0.65384615384615385</v>
      </c>
      <c r="G44" s="24">
        <f t="shared" si="13"/>
        <v>7.7846153846153836</v>
      </c>
      <c r="H44" s="24">
        <f t="shared" si="14"/>
        <v>-5.0899408284023666</v>
      </c>
    </row>
    <row r="45" spans="1:8" x14ac:dyDescent="0.3">
      <c r="A45" s="24">
        <v>4</v>
      </c>
      <c r="B45" s="24">
        <v>2.8</v>
      </c>
      <c r="C45" s="24">
        <f t="shared" si="10"/>
        <v>5.0452071005917158</v>
      </c>
      <c r="D45" s="24">
        <v>20.3</v>
      </c>
      <c r="E45" s="24">
        <f t="shared" si="11"/>
        <v>71.988698224852044</v>
      </c>
      <c r="F45" s="24">
        <f t="shared" si="12"/>
        <v>2.2461538461538462</v>
      </c>
      <c r="G45" s="24">
        <f t="shared" si="13"/>
        <v>8.4846153846153829</v>
      </c>
      <c r="H45" s="24">
        <f t="shared" si="14"/>
        <v>19.057751479289937</v>
      </c>
    </row>
    <row r="46" spans="1:8" x14ac:dyDescent="0.3">
      <c r="A46" s="24">
        <v>5</v>
      </c>
      <c r="B46" s="24">
        <v>2.2000000000000002</v>
      </c>
      <c r="C46" s="24">
        <f t="shared" si="10"/>
        <v>2.7098224852071011</v>
      </c>
      <c r="D46" s="24">
        <v>-3.7</v>
      </c>
      <c r="E46" s="24">
        <f t="shared" si="11"/>
        <v>240.72715976331372</v>
      </c>
      <c r="F46" s="24">
        <f t="shared" si="12"/>
        <v>1.6461538461538463</v>
      </c>
      <c r="G46" s="24">
        <f t="shared" si="13"/>
        <v>-15.515384615384619</v>
      </c>
      <c r="H46" s="24">
        <f t="shared" si="14"/>
        <v>-25.540710059171605</v>
      </c>
    </row>
    <row r="47" spans="1:8" x14ac:dyDescent="0.3">
      <c r="A47" s="24">
        <v>6</v>
      </c>
      <c r="B47" s="24">
        <v>-1.6</v>
      </c>
      <c r="C47" s="24">
        <f t="shared" si="10"/>
        <v>4.6390532544378713</v>
      </c>
      <c r="D47" s="24">
        <v>27.7</v>
      </c>
      <c r="E47" s="24">
        <f t="shared" si="11"/>
        <v>252.32100591715965</v>
      </c>
      <c r="F47" s="24">
        <f t="shared" si="12"/>
        <v>-2.1538461538461542</v>
      </c>
      <c r="G47" s="24">
        <f t="shared" si="13"/>
        <v>15.884615384615381</v>
      </c>
      <c r="H47" s="24">
        <f t="shared" si="14"/>
        <v>-34.213017751479292</v>
      </c>
    </row>
    <row r="48" spans="1:8" x14ac:dyDescent="0.3">
      <c r="A48" s="24">
        <v>7</v>
      </c>
      <c r="B48" s="24">
        <v>-1.3</v>
      </c>
      <c r="C48" s="24">
        <f t="shared" si="10"/>
        <v>3.4367455621301777</v>
      </c>
      <c r="D48" s="24">
        <v>22.6</v>
      </c>
      <c r="E48" s="24">
        <f t="shared" si="11"/>
        <v>116.30792899408281</v>
      </c>
      <c r="F48" s="24">
        <f t="shared" si="12"/>
        <v>-1.8538461538461539</v>
      </c>
      <c r="G48" s="24">
        <f t="shared" si="13"/>
        <v>10.784615384615384</v>
      </c>
      <c r="H48" s="24">
        <f t="shared" si="14"/>
        <v>-19.99301775147929</v>
      </c>
    </row>
    <row r="49" spans="1:10" x14ac:dyDescent="0.3">
      <c r="A49" s="24">
        <v>8</v>
      </c>
      <c r="B49" s="24">
        <v>5.6</v>
      </c>
      <c r="C49" s="24">
        <f t="shared" si="10"/>
        <v>25.463668639053253</v>
      </c>
      <c r="D49" s="24">
        <v>2.2999999999999998</v>
      </c>
      <c r="E49" s="24">
        <f t="shared" si="11"/>
        <v>90.542544378698295</v>
      </c>
      <c r="F49" s="24">
        <f t="shared" si="12"/>
        <v>5.046153846153846</v>
      </c>
      <c r="G49" s="24">
        <f t="shared" si="13"/>
        <v>-9.5153846153846189</v>
      </c>
      <c r="H49" s="24">
        <f t="shared" si="14"/>
        <v>-48.016094674556228</v>
      </c>
    </row>
    <row r="50" spans="1:10" x14ac:dyDescent="0.3">
      <c r="A50" s="24">
        <v>9</v>
      </c>
      <c r="B50" s="24">
        <v>-1.4</v>
      </c>
      <c r="C50" s="24">
        <f t="shared" si="10"/>
        <v>3.817514792899408</v>
      </c>
      <c r="D50" s="24">
        <v>11.9</v>
      </c>
      <c r="E50" s="24">
        <f t="shared" si="11"/>
        <v>7.1597633136091157E-3</v>
      </c>
      <c r="F50" s="24">
        <f t="shared" si="12"/>
        <v>-1.9538461538461538</v>
      </c>
      <c r="G50" s="24">
        <f t="shared" si="13"/>
        <v>8.4615384615382538E-2</v>
      </c>
      <c r="H50" s="24">
        <f t="shared" si="14"/>
        <v>-0.16532544378697819</v>
      </c>
    </row>
    <row r="51" spans="1:10" x14ac:dyDescent="0.3">
      <c r="A51" s="24">
        <v>10</v>
      </c>
      <c r="B51" s="24">
        <v>1.4</v>
      </c>
      <c r="C51" s="24">
        <f t="shared" si="10"/>
        <v>0.71597633136094652</v>
      </c>
      <c r="D51" s="24">
        <v>27</v>
      </c>
      <c r="E51" s="24">
        <f t="shared" si="11"/>
        <v>230.57254437869815</v>
      </c>
      <c r="F51" s="24">
        <f t="shared" si="12"/>
        <v>0.84615384615384603</v>
      </c>
      <c r="G51" s="24">
        <f t="shared" si="13"/>
        <v>15.184615384615382</v>
      </c>
      <c r="H51" s="24">
        <f t="shared" si="14"/>
        <v>12.848520710059168</v>
      </c>
    </row>
    <row r="52" spans="1:10" x14ac:dyDescent="0.3">
      <c r="A52" s="24">
        <v>11</v>
      </c>
      <c r="B52" s="24">
        <v>1.5</v>
      </c>
      <c r="C52" s="24">
        <f t="shared" si="10"/>
        <v>0.89520710059171593</v>
      </c>
      <c r="D52" s="24">
        <v>-4.3</v>
      </c>
      <c r="E52" s="24">
        <f t="shared" si="11"/>
        <v>259.70562130177518</v>
      </c>
      <c r="F52" s="24">
        <f t="shared" si="12"/>
        <v>0.94615384615384612</v>
      </c>
      <c r="G52" s="24">
        <f t="shared" si="13"/>
        <v>-16.115384615384617</v>
      </c>
      <c r="H52" s="24">
        <f t="shared" si="14"/>
        <v>-15.247633136094676</v>
      </c>
    </row>
    <row r="53" spans="1:10" x14ac:dyDescent="0.3">
      <c r="A53" s="24">
        <v>12</v>
      </c>
      <c r="B53" s="24">
        <v>-4.7</v>
      </c>
      <c r="C53" s="24">
        <f t="shared" si="10"/>
        <v>27.602899408284024</v>
      </c>
      <c r="D53" s="24">
        <v>20.3</v>
      </c>
      <c r="E53" s="24">
        <f t="shared" si="11"/>
        <v>71.988698224852044</v>
      </c>
      <c r="F53" s="24">
        <f t="shared" si="12"/>
        <v>-5.2538461538461538</v>
      </c>
      <c r="G53" s="24">
        <f t="shared" si="13"/>
        <v>8.4846153846153829</v>
      </c>
      <c r="H53" s="24">
        <f t="shared" si="14"/>
        <v>-44.576863905325432</v>
      </c>
    </row>
    <row r="54" spans="1:10" x14ac:dyDescent="0.3">
      <c r="A54" s="24">
        <v>13</v>
      </c>
      <c r="B54" s="24">
        <v>1.1000000000000001</v>
      </c>
      <c r="C54" s="24">
        <f t="shared" si="10"/>
        <v>0.2982840236686391</v>
      </c>
      <c r="D54" s="24">
        <v>4.2</v>
      </c>
      <c r="E54" s="24">
        <f t="shared" si="11"/>
        <v>57.994082840236722</v>
      </c>
      <c r="F54" s="24">
        <f t="shared" si="12"/>
        <v>0.54615384615384621</v>
      </c>
      <c r="G54" s="24">
        <f t="shared" si="13"/>
        <v>-7.6153846153846176</v>
      </c>
      <c r="H54" s="24">
        <f t="shared" si="14"/>
        <v>-4.1591715976331374</v>
      </c>
    </row>
    <row r="55" spans="1:10" x14ac:dyDescent="0.3">
      <c r="A55" s="24" t="s">
        <v>98</v>
      </c>
      <c r="B55" s="24">
        <f>SUM(B42:B54)</f>
        <v>7.2000000000000011</v>
      </c>
      <c r="C55" s="24">
        <f t="shared" ref="C55:E55" si="15">SUM(C42:C54)</f>
        <v>76.072307692307703</v>
      </c>
      <c r="D55" s="24">
        <f t="shared" si="15"/>
        <v>153.60000000000002</v>
      </c>
      <c r="E55" s="24">
        <f t="shared" si="15"/>
        <v>1903.9169230769232</v>
      </c>
      <c r="F55" s="154"/>
      <c r="G55" s="154"/>
      <c r="H55" s="31">
        <f t="shared" ref="H55" si="16">SUM(H42:H54)</f>
        <v>-154.74076923076925</v>
      </c>
      <c r="I55" s="31"/>
      <c r="J55" s="188"/>
    </row>
    <row r="56" spans="1:10" x14ac:dyDescent="0.3">
      <c r="A56" s="173" t="s">
        <v>3</v>
      </c>
      <c r="B56" s="24">
        <f>B55/13</f>
        <v>0.55384615384615388</v>
      </c>
      <c r="D56" s="24">
        <f t="shared" ref="D56" si="17">D55/13</f>
        <v>11.815384615384618</v>
      </c>
    </row>
    <row r="57" spans="1:10" x14ac:dyDescent="0.3">
      <c r="A57" s="24" t="s">
        <v>134</v>
      </c>
      <c r="B57" s="24">
        <f>VAR(B42:B54)</f>
        <v>6.3393589743589729</v>
      </c>
      <c r="C57" s="24">
        <f>SUM(C42:C54)/12</f>
        <v>6.3393589743589756</v>
      </c>
      <c r="D57" s="24">
        <f>VAR(D42:D54)</f>
        <v>158.65974358974356</v>
      </c>
      <c r="E57" s="24">
        <f t="shared" ref="E57" si="18">SUM(E42:E54)/12</f>
        <v>158.65974358974361</v>
      </c>
    </row>
    <row r="58" spans="1:10" ht="31.2" x14ac:dyDescent="0.3">
      <c r="A58" s="24" t="s">
        <v>4</v>
      </c>
      <c r="B58" s="24">
        <f>STDEV(B42:B54)</f>
        <v>2.5178083672827394</v>
      </c>
      <c r="C58" s="24">
        <f>SQRT(C57)</f>
        <v>2.5178083672827398</v>
      </c>
      <c r="D58" s="24">
        <f>STDEV(D42:D54)</f>
        <v>12.596020942732016</v>
      </c>
      <c r="E58" s="24">
        <f t="shared" ref="E58" si="19">SQRT(E57)</f>
        <v>12.596020942732018</v>
      </c>
    </row>
    <row r="61" spans="1:10" x14ac:dyDescent="0.3">
      <c r="A61" s="24" t="s">
        <v>721</v>
      </c>
      <c r="D61" s="24" t="s">
        <v>316</v>
      </c>
      <c r="E61" s="189">
        <f>(1/12)*H55/(C58*E58)</f>
        <v>-0.40660007918283425</v>
      </c>
    </row>
    <row r="64" spans="1:10" x14ac:dyDescent="0.3">
      <c r="A64"/>
    </row>
    <row r="68" spans="1:8" x14ac:dyDescent="0.3">
      <c r="B68" s="24" t="s">
        <v>316</v>
      </c>
      <c r="C68" s="189">
        <f>E61/SQRT((1-E61^2)/(11))</f>
        <v>-1.4760624787290497</v>
      </c>
      <c r="D68" s="24" t="s">
        <v>662</v>
      </c>
      <c r="E68" s="190" t="s">
        <v>605</v>
      </c>
    </row>
    <row r="70" spans="1:8" ht="18" x14ac:dyDescent="0.3">
      <c r="B70" s="24" t="s">
        <v>316</v>
      </c>
      <c r="C70" s="24" t="s">
        <v>722</v>
      </c>
      <c r="D70" s="24" t="s">
        <v>316</v>
      </c>
      <c r="E70" s="24">
        <f>TINV(0.05,11)</f>
        <v>2.2009851600916384</v>
      </c>
    </row>
    <row r="72" spans="1:8" ht="15.6" customHeight="1" x14ac:dyDescent="0.3">
      <c r="A72" s="342" t="s">
        <v>723</v>
      </c>
      <c r="B72" s="342"/>
      <c r="C72" s="342"/>
      <c r="D72" s="342"/>
      <c r="E72" s="342"/>
      <c r="F72" s="342"/>
      <c r="G72" s="342"/>
      <c r="H72" s="342"/>
    </row>
    <row r="73" spans="1:8" ht="17.399999999999999" customHeight="1" x14ac:dyDescent="0.3">
      <c r="A73" s="342"/>
      <c r="B73" s="342"/>
      <c r="C73" s="342"/>
      <c r="D73" s="342"/>
      <c r="E73" s="342"/>
      <c r="F73" s="342"/>
      <c r="G73" s="342"/>
      <c r="H73" s="342"/>
    </row>
    <row r="74" spans="1:8" ht="16.2" thickBot="1" x14ac:dyDescent="0.35"/>
    <row r="75" spans="1:8" ht="18" thickBot="1" x14ac:dyDescent="0.35">
      <c r="A75" s="338" t="s">
        <v>15</v>
      </c>
      <c r="B75" s="339"/>
      <c r="C75" s="339"/>
      <c r="D75" s="339"/>
      <c r="E75" s="339"/>
      <c r="F75" s="339"/>
      <c r="G75" s="339"/>
      <c r="H75" s="340"/>
    </row>
    <row r="76" spans="1:8" x14ac:dyDescent="0.3">
      <c r="A76" s="25"/>
      <c r="B76" s="83"/>
      <c r="C76" s="25"/>
      <c r="D76" s="83"/>
      <c r="E76" s="25"/>
      <c r="F76" s="25"/>
      <c r="G76" s="25"/>
      <c r="H76" s="25"/>
    </row>
    <row r="77" spans="1:8" x14ac:dyDescent="0.3">
      <c r="A77" s="24">
        <v>1</v>
      </c>
      <c r="B77" s="24">
        <v>7.7</v>
      </c>
      <c r="C77" s="24">
        <f>(B77-$B$95)^2</f>
        <v>13.764100000000003</v>
      </c>
      <c r="D77" s="24">
        <v>141.77000000000001</v>
      </c>
      <c r="E77" s="24">
        <f>(D77-$D$95)^2</f>
        <v>323.95764844290659</v>
      </c>
      <c r="F77" s="24">
        <f>B77-$B$95</f>
        <v>3.7100000000000004</v>
      </c>
      <c r="G77" s="24">
        <f>D77-$D$95</f>
        <v>-17.998823529411766</v>
      </c>
      <c r="H77" s="24">
        <f>F77*G77</f>
        <v>-66.775635294117663</v>
      </c>
    </row>
    <row r="78" spans="1:8" x14ac:dyDescent="0.3">
      <c r="A78" s="24">
        <v>2</v>
      </c>
      <c r="B78" s="24">
        <v>4.17</v>
      </c>
      <c r="C78" s="24">
        <f t="shared" ref="C78:C93" si="20">(B78-$B$95)^2</f>
        <v>3.2400000000000061E-2</v>
      </c>
      <c r="D78" s="24">
        <v>96.97</v>
      </c>
      <c r="E78" s="24">
        <f t="shared" ref="E78:E93" si="21">(D78-$D$95)^2</f>
        <v>3943.6922366782023</v>
      </c>
      <c r="F78" s="24">
        <f t="shared" ref="F78:F93" si="22">B78-$B$95</f>
        <v>0.18000000000000016</v>
      </c>
      <c r="G78" s="24">
        <f t="shared" ref="G78:G93" si="23">D78-$D$95</f>
        <v>-62.798823529411777</v>
      </c>
      <c r="H78" s="24">
        <f t="shared" ref="H78:H93" si="24">F78*G78</f>
        <v>-11.30378823529413</v>
      </c>
    </row>
    <row r="79" spans="1:8" x14ac:dyDescent="0.3">
      <c r="A79" s="24">
        <v>3</v>
      </c>
      <c r="B79" s="24">
        <v>1.52</v>
      </c>
      <c r="C79" s="24">
        <f t="shared" si="20"/>
        <v>6.1008999999999984</v>
      </c>
      <c r="D79" s="24">
        <v>163.92</v>
      </c>
      <c r="E79" s="24">
        <f t="shared" si="21"/>
        <v>17.232266089965201</v>
      </c>
      <c r="F79" s="24">
        <f t="shared" si="22"/>
        <v>-2.4699999999999998</v>
      </c>
      <c r="G79" s="24">
        <f t="shared" si="23"/>
        <v>4.1511764705882115</v>
      </c>
      <c r="H79" s="24">
        <f t="shared" si="24"/>
        <v>-10.253405882352881</v>
      </c>
    </row>
    <row r="80" spans="1:8" x14ac:dyDescent="0.3">
      <c r="A80" s="24">
        <v>4</v>
      </c>
      <c r="B80" s="24">
        <v>10.039999999999999</v>
      </c>
      <c r="C80" s="24">
        <f t="shared" si="20"/>
        <v>36.602499999999985</v>
      </c>
      <c r="D80" s="24">
        <v>154.69999999999999</v>
      </c>
      <c r="E80" s="24">
        <f t="shared" si="21"/>
        <v>25.692971972318571</v>
      </c>
      <c r="F80" s="24">
        <f t="shared" si="22"/>
        <v>6.0499999999999989</v>
      </c>
      <c r="G80" s="24">
        <f t="shared" si="23"/>
        <v>-5.0688235294117874</v>
      </c>
      <c r="H80" s="24">
        <f t="shared" si="24"/>
        <v>-30.666382352941309</v>
      </c>
    </row>
    <row r="81" spans="1:10" x14ac:dyDescent="0.3">
      <c r="A81" s="24">
        <v>5</v>
      </c>
      <c r="B81" s="24">
        <v>6.02</v>
      </c>
      <c r="C81" s="24">
        <f t="shared" si="20"/>
        <v>4.1208999999999989</v>
      </c>
      <c r="D81" s="24">
        <v>151.61000000000001</v>
      </c>
      <c r="E81" s="24">
        <f t="shared" si="21"/>
        <v>66.566401384083008</v>
      </c>
      <c r="F81" s="24">
        <f t="shared" si="22"/>
        <v>2.0299999999999998</v>
      </c>
      <c r="G81" s="24">
        <f t="shared" si="23"/>
        <v>-8.1588235294117624</v>
      </c>
      <c r="H81" s="24">
        <f t="shared" si="24"/>
        <v>-16.562411764705875</v>
      </c>
    </row>
    <row r="82" spans="1:10" x14ac:dyDescent="0.3">
      <c r="A82" s="24">
        <v>6</v>
      </c>
      <c r="B82" s="24">
        <v>4.8099999999999996</v>
      </c>
      <c r="C82" s="24">
        <f t="shared" si="20"/>
        <v>0.67239999999999978</v>
      </c>
      <c r="D82" s="24">
        <v>147.82</v>
      </c>
      <c r="E82" s="24">
        <f t="shared" si="21"/>
        <v>142.77438373702466</v>
      </c>
      <c r="F82" s="24">
        <f t="shared" si="22"/>
        <v>0.81999999999999984</v>
      </c>
      <c r="G82" s="24">
        <f t="shared" si="23"/>
        <v>-11.948823529411783</v>
      </c>
      <c r="H82" s="24">
        <f t="shared" si="24"/>
        <v>-9.7980352941176605</v>
      </c>
    </row>
    <row r="83" spans="1:10" x14ac:dyDescent="0.3">
      <c r="A83" s="24">
        <v>7</v>
      </c>
      <c r="B83" s="24">
        <v>1.57</v>
      </c>
      <c r="C83" s="24">
        <f t="shared" si="20"/>
        <v>5.8563999999999998</v>
      </c>
      <c r="D83" s="24">
        <v>98.61</v>
      </c>
      <c r="E83" s="24">
        <f t="shared" si="21"/>
        <v>3740.4016955017314</v>
      </c>
      <c r="F83" s="24">
        <f t="shared" si="22"/>
        <v>-2.42</v>
      </c>
      <c r="G83" s="24">
        <f t="shared" si="23"/>
        <v>-61.158823529411777</v>
      </c>
      <c r="H83" s="24">
        <f t="shared" si="24"/>
        <v>148.00435294117651</v>
      </c>
    </row>
    <row r="84" spans="1:10" x14ac:dyDescent="0.3">
      <c r="A84" s="24">
        <v>8</v>
      </c>
      <c r="B84" s="24">
        <v>3.63</v>
      </c>
      <c r="C84" s="24">
        <f t="shared" si="20"/>
        <v>0.12959999999999991</v>
      </c>
      <c r="D84" s="24">
        <v>179.18</v>
      </c>
      <c r="E84" s="24">
        <f t="shared" si="21"/>
        <v>376.79377197231815</v>
      </c>
      <c r="F84" s="24">
        <f t="shared" si="22"/>
        <v>-0.35999999999999988</v>
      </c>
      <c r="G84" s="24">
        <f t="shared" si="23"/>
        <v>19.411176470588231</v>
      </c>
      <c r="H84" s="24">
        <f t="shared" si="24"/>
        <v>-6.9880235294117607</v>
      </c>
    </row>
    <row r="85" spans="1:10" x14ac:dyDescent="0.3">
      <c r="A85" s="24">
        <v>9</v>
      </c>
      <c r="B85" s="24">
        <v>1.57</v>
      </c>
      <c r="C85" s="24">
        <f t="shared" si="20"/>
        <v>5.8563999999999998</v>
      </c>
      <c r="D85" s="24">
        <v>125.19</v>
      </c>
      <c r="E85" s="24">
        <f t="shared" si="21"/>
        <v>1195.6950366782016</v>
      </c>
      <c r="F85" s="24">
        <f t="shared" si="22"/>
        <v>-2.42</v>
      </c>
      <c r="G85" s="24">
        <f t="shared" si="23"/>
        <v>-34.578823529411778</v>
      </c>
      <c r="H85" s="24">
        <f t="shared" si="24"/>
        <v>83.680752941176507</v>
      </c>
    </row>
    <row r="86" spans="1:10" x14ac:dyDescent="0.3">
      <c r="A86" s="24">
        <v>10</v>
      </c>
      <c r="B86" s="24">
        <v>4.6500000000000004</v>
      </c>
      <c r="C86" s="24">
        <f t="shared" si="20"/>
        <v>0.43560000000000076</v>
      </c>
      <c r="D86" s="24">
        <v>171.81</v>
      </c>
      <c r="E86" s="24">
        <f t="shared" si="21"/>
        <v>144.98993079584753</v>
      </c>
      <c r="F86" s="24">
        <f t="shared" si="22"/>
        <v>0.66000000000000059</v>
      </c>
      <c r="G86" s="24">
        <f t="shared" si="23"/>
        <v>12.041176470588226</v>
      </c>
      <c r="H86" s="24">
        <f t="shared" si="24"/>
        <v>7.9471764705882366</v>
      </c>
    </row>
    <row r="87" spans="1:10" x14ac:dyDescent="0.3">
      <c r="A87" s="24">
        <v>11</v>
      </c>
      <c r="B87" s="24">
        <v>2.97</v>
      </c>
      <c r="C87" s="24">
        <f t="shared" si="20"/>
        <v>1.0403999999999991</v>
      </c>
      <c r="D87" s="24">
        <v>200.23</v>
      </c>
      <c r="E87" s="24">
        <f t="shared" si="21"/>
        <v>1637.1068013840813</v>
      </c>
      <c r="F87" s="24">
        <f t="shared" si="22"/>
        <v>-1.0199999999999996</v>
      </c>
      <c r="G87" s="24">
        <f t="shared" si="23"/>
        <v>40.461176470588214</v>
      </c>
      <c r="H87" s="24">
        <f t="shared" si="24"/>
        <v>-41.27039999999996</v>
      </c>
    </row>
    <row r="88" spans="1:10" x14ac:dyDescent="0.3">
      <c r="A88" s="24">
        <v>12</v>
      </c>
      <c r="B88" s="24">
        <v>0.98</v>
      </c>
      <c r="C88" s="24">
        <f t="shared" si="20"/>
        <v>9.0600999999999985</v>
      </c>
      <c r="D88" s="24">
        <v>120.49</v>
      </c>
      <c r="E88" s="24">
        <f t="shared" si="21"/>
        <v>1542.8259778546726</v>
      </c>
      <c r="F88" s="24">
        <f t="shared" si="22"/>
        <v>-3.01</v>
      </c>
      <c r="G88" s="24">
        <f t="shared" si="23"/>
        <v>-39.278823529411781</v>
      </c>
      <c r="H88" s="24">
        <f t="shared" si="24"/>
        <v>118.22925882352945</v>
      </c>
    </row>
    <row r="89" spans="1:10" x14ac:dyDescent="0.3">
      <c r="A89" s="24">
        <v>13</v>
      </c>
      <c r="B89" s="24">
        <v>4.18</v>
      </c>
      <c r="C89" s="24">
        <f t="shared" si="20"/>
        <v>3.6099999999999979E-2</v>
      </c>
      <c r="D89" s="24">
        <v>95.83</v>
      </c>
      <c r="E89" s="24">
        <f t="shared" si="21"/>
        <v>4088.1731543252613</v>
      </c>
      <c r="F89" s="24">
        <f t="shared" si="22"/>
        <v>0.18999999999999995</v>
      </c>
      <c r="G89" s="24">
        <f t="shared" si="23"/>
        <v>-63.938823529411778</v>
      </c>
      <c r="H89" s="24">
        <f t="shared" si="24"/>
        <v>-12.148376470588234</v>
      </c>
    </row>
    <row r="90" spans="1:10" x14ac:dyDescent="0.3">
      <c r="A90" s="24">
        <v>14</v>
      </c>
      <c r="B90" s="24">
        <v>6.09</v>
      </c>
      <c r="C90" s="24">
        <f t="shared" si="20"/>
        <v>4.41</v>
      </c>
      <c r="D90" s="24">
        <v>196.67</v>
      </c>
      <c r="E90" s="24">
        <f t="shared" si="21"/>
        <v>1361.6968249134929</v>
      </c>
      <c r="F90" s="24">
        <f t="shared" si="22"/>
        <v>2.1</v>
      </c>
      <c r="G90" s="24">
        <f t="shared" si="23"/>
        <v>36.901176470588211</v>
      </c>
      <c r="H90" s="24">
        <f t="shared" si="24"/>
        <v>77.49247058823525</v>
      </c>
    </row>
    <row r="91" spans="1:10" x14ac:dyDescent="0.3">
      <c r="A91" s="24">
        <v>15</v>
      </c>
      <c r="B91" s="24">
        <v>3.09</v>
      </c>
      <c r="C91" s="24">
        <f t="shared" si="20"/>
        <v>0.80999999999999983</v>
      </c>
      <c r="D91" s="24">
        <v>275.97000000000003</v>
      </c>
      <c r="E91" s="24">
        <f t="shared" si="21"/>
        <v>13502.713413148793</v>
      </c>
      <c r="F91" s="24">
        <f t="shared" si="22"/>
        <v>-0.89999999999999991</v>
      </c>
      <c r="G91" s="24">
        <f t="shared" si="23"/>
        <v>116.20117647058825</v>
      </c>
      <c r="H91" s="24">
        <f t="shared" si="24"/>
        <v>-104.58105882352942</v>
      </c>
    </row>
    <row r="92" spans="1:10" x14ac:dyDescent="0.3">
      <c r="A92" s="24">
        <v>16</v>
      </c>
      <c r="B92" s="24">
        <v>3.08</v>
      </c>
      <c r="C92" s="24">
        <f t="shared" si="20"/>
        <v>0.8280999999999995</v>
      </c>
      <c r="D92" s="24">
        <v>289.58999999999997</v>
      </c>
      <c r="E92" s="24">
        <f t="shared" si="21"/>
        <v>16853.537860207602</v>
      </c>
      <c r="F92" s="24">
        <f t="shared" si="22"/>
        <v>-0.9099999999999997</v>
      </c>
      <c r="G92" s="24">
        <f t="shared" si="23"/>
        <v>129.8211764705882</v>
      </c>
      <c r="H92" s="24">
        <f t="shared" si="24"/>
        <v>-118.13727058823522</v>
      </c>
    </row>
    <row r="93" spans="1:10" x14ac:dyDescent="0.3">
      <c r="A93" s="24">
        <v>17</v>
      </c>
      <c r="B93" s="24">
        <v>1.76</v>
      </c>
      <c r="C93" s="24">
        <f t="shared" si="20"/>
        <v>4.9728999999999983</v>
      </c>
      <c r="D93" s="24">
        <v>105.71</v>
      </c>
      <c r="E93" s="24">
        <f t="shared" si="21"/>
        <v>2922.3564013840851</v>
      </c>
      <c r="F93" s="24">
        <f t="shared" si="22"/>
        <v>-2.2299999999999995</v>
      </c>
      <c r="G93" s="24">
        <f t="shared" si="23"/>
        <v>-54.058823529411782</v>
      </c>
      <c r="H93" s="24">
        <f t="shared" si="24"/>
        <v>120.55117647058825</v>
      </c>
    </row>
    <row r="94" spans="1:10" x14ac:dyDescent="0.3">
      <c r="A94" s="24" t="s">
        <v>98</v>
      </c>
      <c r="B94" s="24">
        <f>SUM(B77:B93)</f>
        <v>67.83</v>
      </c>
      <c r="C94" s="24">
        <f>SUM(C77:C93)</f>
        <v>94.728799999999964</v>
      </c>
      <c r="D94" s="24">
        <f>SUM(D77:D93)</f>
        <v>2716.07</v>
      </c>
      <c r="E94" s="24">
        <f>SUM(E77:E93)</f>
        <v>51886.206776470586</v>
      </c>
      <c r="F94" s="154"/>
      <c r="G94" s="154"/>
      <c r="H94" s="31">
        <f>SUM(H77:H93)</f>
        <v>127.42040000000009</v>
      </c>
      <c r="I94" s="31"/>
      <c r="J94" s="188"/>
    </row>
    <row r="95" spans="1:10" x14ac:dyDescent="0.3">
      <c r="A95" s="173" t="s">
        <v>3</v>
      </c>
      <c r="B95" s="24">
        <f>B94/17</f>
        <v>3.9899999999999998</v>
      </c>
      <c r="D95" s="24">
        <f>D94/17</f>
        <v>159.76882352941178</v>
      </c>
    </row>
    <row r="96" spans="1:10" x14ac:dyDescent="0.3">
      <c r="A96" s="24" t="s">
        <v>134</v>
      </c>
      <c r="B96" s="24">
        <f>VAR(B77:B93)</f>
        <v>5.9205499999999986</v>
      </c>
      <c r="C96" s="24">
        <f>SUM(C77:C93)/16</f>
        <v>5.9205499999999978</v>
      </c>
      <c r="D96" s="24">
        <f>VAR(D77:D93)</f>
        <v>3242.8879235294044</v>
      </c>
      <c r="E96" s="24">
        <f>SUM(E77:E93)/16</f>
        <v>3242.8879235294116</v>
      </c>
    </row>
    <row r="97" spans="1:8" ht="31.2" x14ac:dyDescent="0.3">
      <c r="A97" s="24" t="s">
        <v>4</v>
      </c>
      <c r="B97" s="24">
        <f>STDEV(B77:B93)</f>
        <v>2.4332180337980396</v>
      </c>
      <c r="C97" s="24">
        <f>SQRT(C96)</f>
        <v>2.4332180337980396</v>
      </c>
      <c r="D97" s="24">
        <f>STDEV(D77:D93)</f>
        <v>56.946360055137887</v>
      </c>
      <c r="E97" s="24">
        <f t="shared" ref="E97" si="25">SQRT(E96)</f>
        <v>56.946360055137951</v>
      </c>
      <c r="H97"/>
    </row>
    <row r="100" spans="1:8" x14ac:dyDescent="0.3">
      <c r="A100" s="24" t="s">
        <v>721</v>
      </c>
      <c r="D100" s="24" t="s">
        <v>316</v>
      </c>
      <c r="E100" s="189">
        <f>(1/16)*H94/(C97*E97)</f>
        <v>5.7474074309644484E-2</v>
      </c>
    </row>
    <row r="103" spans="1:8" x14ac:dyDescent="0.3">
      <c r="A103"/>
    </row>
    <row r="107" spans="1:8" x14ac:dyDescent="0.3">
      <c r="B107" s="24" t="s">
        <v>316</v>
      </c>
      <c r="C107" s="189">
        <f>E100/SQRT((1-E100^2)/(15))</f>
        <v>0.22296469345988404</v>
      </c>
      <c r="D107" s="24" t="s">
        <v>662</v>
      </c>
      <c r="E107" s="190" t="s">
        <v>605</v>
      </c>
    </row>
    <row r="109" spans="1:8" ht="18" x14ac:dyDescent="0.3">
      <c r="B109" s="24" t="s">
        <v>316</v>
      </c>
      <c r="C109" s="24" t="s">
        <v>725</v>
      </c>
      <c r="D109" s="24" t="s">
        <v>316</v>
      </c>
      <c r="E109" s="24">
        <f>TINV(0.05,15)</f>
        <v>2.1314495455597742</v>
      </c>
    </row>
    <row r="111" spans="1:8" ht="15.6" customHeight="1" x14ac:dyDescent="0.3">
      <c r="A111" s="342" t="s">
        <v>724</v>
      </c>
      <c r="B111" s="342"/>
      <c r="C111" s="342"/>
      <c r="D111" s="342"/>
      <c r="E111" s="342"/>
      <c r="F111" s="342"/>
      <c r="G111" s="342"/>
      <c r="H111" s="342"/>
    </row>
    <row r="112" spans="1:8" ht="17.399999999999999" customHeight="1" x14ac:dyDescent="0.3">
      <c r="A112" s="342"/>
      <c r="B112" s="342"/>
      <c r="C112" s="342"/>
      <c r="D112" s="342"/>
      <c r="E112" s="342"/>
      <c r="F112" s="342"/>
      <c r="G112" s="342"/>
      <c r="H112" s="342"/>
    </row>
    <row r="133" spans="1:8" ht="16.2" thickBot="1" x14ac:dyDescent="0.35"/>
    <row r="134" spans="1:8" ht="18" thickBot="1" x14ac:dyDescent="0.35">
      <c r="A134" s="338" t="s">
        <v>19</v>
      </c>
      <c r="B134" s="339"/>
      <c r="C134" s="339"/>
      <c r="D134" s="339"/>
      <c r="E134" s="339"/>
      <c r="F134" s="339"/>
      <c r="G134" s="339"/>
      <c r="H134" s="340"/>
    </row>
    <row r="136" spans="1:8" x14ac:dyDescent="0.3">
      <c r="A136" s="24" t="s">
        <v>569</v>
      </c>
      <c r="B136" s="24">
        <v>353</v>
      </c>
    </row>
    <row r="137" spans="1:8" x14ac:dyDescent="0.3">
      <c r="A137" s="24" t="s">
        <v>720</v>
      </c>
      <c r="B137" s="24">
        <v>0.11</v>
      </c>
    </row>
    <row r="139" spans="1:8" x14ac:dyDescent="0.3">
      <c r="A139"/>
    </row>
    <row r="142" spans="1:8" x14ac:dyDescent="0.3">
      <c r="B142" s="24" t="s">
        <v>316</v>
      </c>
      <c r="C142" s="24">
        <f>B137/SQRT((1-B137*B137)/(B136-2))</f>
        <v>2.0734317794572275</v>
      </c>
    </row>
    <row r="145" spans="1:8" x14ac:dyDescent="0.3">
      <c r="B145" s="24" t="s">
        <v>316</v>
      </c>
      <c r="C145" s="24">
        <f>TINV(0.1,351)</f>
        <v>1.6492063998825595</v>
      </c>
    </row>
    <row r="147" spans="1:8" x14ac:dyDescent="0.3">
      <c r="A147" s="342" t="s">
        <v>727</v>
      </c>
      <c r="B147" s="342"/>
      <c r="C147" s="342"/>
      <c r="D147" s="342"/>
      <c r="E147" s="342"/>
      <c r="F147" s="342"/>
      <c r="G147" s="342"/>
      <c r="H147" s="342"/>
    </row>
    <row r="148" spans="1:8" x14ac:dyDescent="0.3">
      <c r="A148" s="342"/>
      <c r="B148" s="342"/>
      <c r="C148" s="342"/>
      <c r="D148" s="342"/>
      <c r="E148" s="342"/>
      <c r="F148" s="342"/>
      <c r="G148" s="342"/>
      <c r="H148" s="342"/>
    </row>
    <row r="149" spans="1:8" ht="16.2" thickBot="1" x14ac:dyDescent="0.35"/>
    <row r="150" spans="1:8" ht="18" thickBot="1" x14ac:dyDescent="0.35">
      <c r="A150" s="338" t="s">
        <v>22</v>
      </c>
      <c r="B150" s="339"/>
      <c r="C150" s="339"/>
      <c r="D150" s="339"/>
      <c r="E150" s="339"/>
      <c r="F150" s="339"/>
      <c r="G150" s="339"/>
      <c r="H150" s="340"/>
    </row>
    <row r="167" spans="1:8" ht="16.2" thickBot="1" x14ac:dyDescent="0.35"/>
    <row r="168" spans="1:8" ht="18" thickBot="1" x14ac:dyDescent="0.35">
      <c r="A168" s="338" t="s">
        <v>25</v>
      </c>
      <c r="B168" s="339"/>
      <c r="C168" s="339"/>
      <c r="D168" s="339"/>
      <c r="E168" s="339"/>
      <c r="F168" s="339"/>
      <c r="G168" s="339"/>
      <c r="H168" s="340"/>
    </row>
    <row r="169" spans="1:8" x14ac:dyDescent="0.3">
      <c r="A169" s="1"/>
      <c r="B169" s="1" t="s">
        <v>541</v>
      </c>
      <c r="D169" s="1" t="s">
        <v>607</v>
      </c>
    </row>
    <row r="170" spans="1:8" x14ac:dyDescent="0.3">
      <c r="A170" s="1">
        <v>1</v>
      </c>
      <c r="B170" s="1">
        <v>26200</v>
      </c>
      <c r="C170" s="24">
        <f>(B170-$B$178)^2</f>
        <v>56406.25</v>
      </c>
      <c r="D170" s="1">
        <v>22600</v>
      </c>
      <c r="E170" s="24">
        <f>(D170-$D$178)^2</f>
        <v>5581406.25</v>
      </c>
      <c r="F170" s="24">
        <f>B170-$B$178</f>
        <v>-237.5</v>
      </c>
      <c r="G170" s="24">
        <f>D170-$D$178</f>
        <v>-2362.5</v>
      </c>
      <c r="H170" s="24">
        <f>F170*G170</f>
        <v>561093.75</v>
      </c>
    </row>
    <row r="171" spans="1:8" x14ac:dyDescent="0.3">
      <c r="A171" s="1">
        <v>2</v>
      </c>
      <c r="B171" s="1">
        <v>24700</v>
      </c>
      <c r="C171" s="24">
        <f t="shared" ref="C171:C177" si="26">(B171-$B$178)^2</f>
        <v>3018906.25</v>
      </c>
      <c r="D171" s="1">
        <v>23600</v>
      </c>
      <c r="E171" s="24">
        <f t="shared" ref="E171:E177" si="27">(D171-$D$178)^2</f>
        <v>1856406.25</v>
      </c>
      <c r="F171" s="24">
        <f t="shared" ref="F171:F177" si="28">B171-$B$178</f>
        <v>-1737.5</v>
      </c>
      <c r="G171" s="24">
        <f t="shared" ref="G171:G177" si="29">D171-$D$178</f>
        <v>-1362.5</v>
      </c>
      <c r="H171" s="24">
        <f t="shared" ref="H171:H177" si="30">F171*G171</f>
        <v>2367343.75</v>
      </c>
    </row>
    <row r="172" spans="1:8" x14ac:dyDescent="0.3">
      <c r="A172" s="1">
        <v>3</v>
      </c>
      <c r="B172" s="1">
        <v>28400</v>
      </c>
      <c r="C172" s="24">
        <f t="shared" si="26"/>
        <v>3851406.25</v>
      </c>
      <c r="D172" s="1">
        <v>29300</v>
      </c>
      <c r="E172" s="24">
        <f t="shared" si="27"/>
        <v>18813906.25</v>
      </c>
      <c r="F172" s="24">
        <f t="shared" si="28"/>
        <v>1962.5</v>
      </c>
      <c r="G172" s="24">
        <f t="shared" si="29"/>
        <v>4337.5</v>
      </c>
      <c r="H172" s="24">
        <f t="shared" si="30"/>
        <v>8512343.75</v>
      </c>
    </row>
    <row r="173" spans="1:8" x14ac:dyDescent="0.3">
      <c r="A173" s="1">
        <v>4</v>
      </c>
      <c r="B173" s="1">
        <v>21700</v>
      </c>
      <c r="C173" s="24">
        <f t="shared" si="26"/>
        <v>22443906.25</v>
      </c>
      <c r="D173" s="1">
        <v>22300</v>
      </c>
      <c r="E173" s="24">
        <f t="shared" si="27"/>
        <v>7088906.25</v>
      </c>
      <c r="F173" s="24">
        <f t="shared" si="28"/>
        <v>-4737.5</v>
      </c>
      <c r="G173" s="24">
        <f t="shared" si="29"/>
        <v>-2662.5</v>
      </c>
      <c r="H173" s="24">
        <f t="shared" si="30"/>
        <v>12613593.75</v>
      </c>
    </row>
    <row r="174" spans="1:8" x14ac:dyDescent="0.3">
      <c r="A174" s="1">
        <v>5</v>
      </c>
      <c r="B174" s="1">
        <v>28600</v>
      </c>
      <c r="C174" s="24">
        <f t="shared" si="26"/>
        <v>4676406.25</v>
      </c>
      <c r="D174" s="1">
        <v>26200</v>
      </c>
      <c r="E174" s="24">
        <f t="shared" si="27"/>
        <v>1531406.25</v>
      </c>
      <c r="F174" s="24">
        <f t="shared" si="28"/>
        <v>2162.5</v>
      </c>
      <c r="G174" s="24">
        <f t="shared" si="29"/>
        <v>1237.5</v>
      </c>
      <c r="H174" s="24">
        <f t="shared" si="30"/>
        <v>2676093.75</v>
      </c>
    </row>
    <row r="175" spans="1:8" x14ac:dyDescent="0.3">
      <c r="A175" s="1">
        <v>6</v>
      </c>
      <c r="B175" s="1">
        <v>29300</v>
      </c>
      <c r="C175" s="24">
        <f t="shared" si="26"/>
        <v>8193906.25</v>
      </c>
      <c r="D175" s="1">
        <v>25900</v>
      </c>
      <c r="E175" s="24">
        <f t="shared" si="27"/>
        <v>878906.25</v>
      </c>
      <c r="F175" s="24">
        <f t="shared" si="28"/>
        <v>2862.5</v>
      </c>
      <c r="G175" s="24">
        <f t="shared" si="29"/>
        <v>937.5</v>
      </c>
      <c r="H175" s="24">
        <f t="shared" si="30"/>
        <v>2683593.75</v>
      </c>
    </row>
    <row r="176" spans="1:8" x14ac:dyDescent="0.3">
      <c r="A176" s="1">
        <v>7</v>
      </c>
      <c r="B176" s="1">
        <v>28300</v>
      </c>
      <c r="C176" s="24">
        <f t="shared" si="26"/>
        <v>3468906.25</v>
      </c>
      <c r="D176" s="1">
        <v>28500</v>
      </c>
      <c r="E176" s="24">
        <f t="shared" si="27"/>
        <v>12513906.25</v>
      </c>
      <c r="F176" s="24">
        <f t="shared" si="28"/>
        <v>1862.5</v>
      </c>
      <c r="G176" s="24">
        <f t="shared" si="29"/>
        <v>3537.5</v>
      </c>
      <c r="H176" s="24">
        <f t="shared" si="30"/>
        <v>6588593.75</v>
      </c>
    </row>
    <row r="177" spans="1:11" x14ac:dyDescent="0.3">
      <c r="A177" s="1">
        <v>8</v>
      </c>
      <c r="B177" s="1">
        <v>24300</v>
      </c>
      <c r="C177" s="24">
        <f t="shared" si="26"/>
        <v>4568906.25</v>
      </c>
      <c r="D177" s="1">
        <v>21300</v>
      </c>
      <c r="E177" s="24">
        <f t="shared" si="27"/>
        <v>13413906.25</v>
      </c>
      <c r="F177" s="24">
        <f t="shared" si="28"/>
        <v>-2137.5</v>
      </c>
      <c r="G177" s="24">
        <f t="shared" si="29"/>
        <v>-3662.5</v>
      </c>
      <c r="H177" s="24">
        <f t="shared" si="30"/>
        <v>7828593.75</v>
      </c>
    </row>
    <row r="178" spans="1:11" x14ac:dyDescent="0.3">
      <c r="A178" s="1" t="s">
        <v>3</v>
      </c>
      <c r="B178" s="1">
        <f>AVERAGE(B170:B177)</f>
        <v>26437.5</v>
      </c>
      <c r="D178" s="1">
        <f>AVERAGE(D170:D177)</f>
        <v>24962.5</v>
      </c>
      <c r="H178" s="24">
        <f>SUM(H170:H177)</f>
        <v>43831250</v>
      </c>
    </row>
    <row r="179" spans="1:11" x14ac:dyDescent="0.3">
      <c r="A179" s="24" t="s">
        <v>134</v>
      </c>
      <c r="B179" s="24">
        <f>VAR(B170:B177)</f>
        <v>7182678.5714285718</v>
      </c>
      <c r="C179" s="24">
        <f>SUM(C170:C177)/7</f>
        <v>7182678.5714285718</v>
      </c>
      <c r="D179" s="24">
        <f>VAR(D170:D177)</f>
        <v>8811250</v>
      </c>
      <c r="E179" s="24">
        <f>SUM(E170:E177)/7</f>
        <v>8811250</v>
      </c>
      <c r="J179" s="343" t="s">
        <v>413</v>
      </c>
      <c r="K179" s="343"/>
    </row>
    <row r="180" spans="1:11" ht="31.2" x14ac:dyDescent="0.3">
      <c r="A180" s="24" t="s">
        <v>4</v>
      </c>
      <c r="B180" s="24">
        <f>STDEV(B170:B177)</f>
        <v>2680.0519717775196</v>
      </c>
      <c r="C180" s="24">
        <f>SQRT(C179)</f>
        <v>2680.0519717775196</v>
      </c>
      <c r="D180" s="24">
        <f>STDEV(D170:D177)</f>
        <v>2968.3749763127971</v>
      </c>
      <c r="E180" s="24">
        <f>SQRT(E179)</f>
        <v>2968.3749763127971</v>
      </c>
      <c r="J180" s="343"/>
      <c r="K180" s="343"/>
    </row>
    <row r="181" spans="1:11" x14ac:dyDescent="0.3">
      <c r="J181" s="343"/>
      <c r="K181" s="343"/>
    </row>
    <row r="182" spans="1:11" x14ac:dyDescent="0.3">
      <c r="J182" s="343"/>
      <c r="K182" s="343"/>
    </row>
    <row r="183" spans="1:11" x14ac:dyDescent="0.3">
      <c r="A183" s="24" t="s">
        <v>721</v>
      </c>
      <c r="D183" s="24" t="s">
        <v>316</v>
      </c>
      <c r="E183" s="189">
        <f>(1/7)*H178/(C180*E180)</f>
        <v>0.78708899188488601</v>
      </c>
      <c r="J183" s="343"/>
      <c r="K183" s="343"/>
    </row>
    <row r="184" spans="1:11" x14ac:dyDescent="0.3">
      <c r="J184" s="343"/>
      <c r="K184" s="343"/>
    </row>
    <row r="185" spans="1:11" x14ac:dyDescent="0.3">
      <c r="J185" s="343"/>
      <c r="K185" s="343"/>
    </row>
    <row r="186" spans="1:11" x14ac:dyDescent="0.3">
      <c r="A186"/>
      <c r="J186" s="343"/>
      <c r="K186" s="343"/>
    </row>
    <row r="187" spans="1:11" x14ac:dyDescent="0.3">
      <c r="J187" s="343"/>
      <c r="K187" s="343"/>
    </row>
    <row r="188" spans="1:11" x14ac:dyDescent="0.3">
      <c r="J188" s="343"/>
      <c r="K188" s="343"/>
    </row>
    <row r="189" spans="1:11" x14ac:dyDescent="0.3">
      <c r="J189" s="343"/>
      <c r="K189" s="343"/>
    </row>
    <row r="190" spans="1:11" x14ac:dyDescent="0.3">
      <c r="B190" s="24" t="s">
        <v>316</v>
      </c>
      <c r="C190" s="189">
        <f>E183/SQRT((1-E183^2)/(6))</f>
        <v>3.1255562244623269</v>
      </c>
      <c r="D190" s="24" t="s">
        <v>662</v>
      </c>
      <c r="E190" s="190" t="s">
        <v>605</v>
      </c>
      <c r="J190" s="343"/>
      <c r="K190" s="343"/>
    </row>
    <row r="191" spans="1:11" x14ac:dyDescent="0.3">
      <c r="J191" s="343"/>
      <c r="K191" s="343"/>
    </row>
    <row r="192" spans="1:11" ht="18" x14ac:dyDescent="0.3">
      <c r="B192" s="24" t="s">
        <v>316</v>
      </c>
      <c r="C192" s="24" t="s">
        <v>725</v>
      </c>
      <c r="D192" s="24" t="s">
        <v>316</v>
      </c>
      <c r="E192" s="24">
        <f>TINV(0.005,15)</f>
        <v>3.2860385709462228</v>
      </c>
    </row>
    <row r="194" spans="1:8" ht="15.6" customHeight="1" x14ac:dyDescent="0.3">
      <c r="A194" s="342" t="s">
        <v>724</v>
      </c>
      <c r="B194" s="342"/>
      <c r="C194" s="342"/>
      <c r="D194" s="342"/>
      <c r="E194" s="342"/>
      <c r="F194" s="342"/>
      <c r="G194" s="342"/>
      <c r="H194" s="342"/>
    </row>
    <row r="195" spans="1:8" ht="17.399999999999999" customHeight="1" x14ac:dyDescent="0.3">
      <c r="A195" s="342"/>
      <c r="B195" s="342"/>
      <c r="C195" s="342"/>
      <c r="D195" s="342"/>
      <c r="E195" s="342"/>
      <c r="F195" s="342"/>
      <c r="G195" s="342"/>
      <c r="H195" s="342"/>
    </row>
    <row r="204" spans="1:8" x14ac:dyDescent="0.3">
      <c r="A204" s="24">
        <f>C179/E179</f>
        <v>0.81517135155949172</v>
      </c>
      <c r="B204" s="24" t="s">
        <v>662</v>
      </c>
      <c r="C204" s="24">
        <f>FINV(0.6,7,7)</f>
        <v>0.81987051376821873</v>
      </c>
    </row>
    <row r="206" spans="1:8" x14ac:dyDescent="0.3">
      <c r="A206" s="342" t="s">
        <v>728</v>
      </c>
      <c r="B206" s="342"/>
      <c r="C206" s="342"/>
      <c r="D206" s="342"/>
      <c r="E206" s="342"/>
      <c r="F206" s="342"/>
      <c r="G206" s="342"/>
      <c r="H206" s="342"/>
    </row>
    <row r="207" spans="1:8" x14ac:dyDescent="0.3">
      <c r="A207" s="342"/>
      <c r="B207" s="342"/>
      <c r="C207" s="342"/>
      <c r="D207" s="342"/>
      <c r="E207" s="342"/>
      <c r="F207" s="342"/>
      <c r="G207" s="342"/>
      <c r="H207" s="342"/>
    </row>
    <row r="208" spans="1:8" ht="16.2" thickBot="1" x14ac:dyDescent="0.35"/>
    <row r="209" spans="1:8" ht="18" thickBot="1" x14ac:dyDescent="0.35">
      <c r="A209" s="338" t="s">
        <v>25</v>
      </c>
      <c r="B209" s="339"/>
      <c r="C209" s="339"/>
      <c r="D209" s="339"/>
      <c r="E209" s="339"/>
      <c r="F209" s="339"/>
      <c r="G209" s="339"/>
      <c r="H209" s="340"/>
    </row>
    <row r="230" spans="1:8" ht="16.2" thickBot="1" x14ac:dyDescent="0.35"/>
    <row r="231" spans="1:8" ht="18" thickBot="1" x14ac:dyDescent="0.35">
      <c r="A231" s="338" t="s">
        <v>34</v>
      </c>
      <c r="B231" s="339"/>
      <c r="C231" s="339"/>
      <c r="D231" s="339"/>
      <c r="E231" s="339"/>
      <c r="F231" s="339"/>
      <c r="G231" s="339"/>
      <c r="H231" s="340"/>
    </row>
    <row r="232" spans="1:8" x14ac:dyDescent="0.3">
      <c r="A232" s="25"/>
      <c r="B232" s="83"/>
      <c r="C232" s="25"/>
      <c r="D232" s="83"/>
      <c r="E232" s="25"/>
      <c r="F232" s="25"/>
      <c r="G232" s="25"/>
      <c r="H232" s="25"/>
    </row>
    <row r="233" spans="1:8" x14ac:dyDescent="0.3">
      <c r="A233" s="24">
        <v>1</v>
      </c>
      <c r="B233" s="24">
        <v>7.7</v>
      </c>
      <c r="C233" s="24">
        <f>(B233-$B$95)^2</f>
        <v>13.764100000000003</v>
      </c>
      <c r="D233" s="24">
        <v>141.77000000000001</v>
      </c>
      <c r="E233" s="24">
        <f>(D233-$D$95)^2</f>
        <v>323.95764844290659</v>
      </c>
      <c r="F233" s="24">
        <f>B233-$B$95</f>
        <v>3.7100000000000004</v>
      </c>
      <c r="G233" s="24">
        <f>D233-$D$95</f>
        <v>-17.998823529411766</v>
      </c>
      <c r="H233" s="24">
        <f>F233*G233</f>
        <v>-66.775635294117663</v>
      </c>
    </row>
    <row r="234" spans="1:8" x14ac:dyDescent="0.3">
      <c r="A234" s="24">
        <v>2</v>
      </c>
      <c r="B234" s="24">
        <v>4.17</v>
      </c>
      <c r="C234" s="24">
        <f t="shared" ref="C234:C249" si="31">(B234-$B$95)^2</f>
        <v>3.2400000000000061E-2</v>
      </c>
      <c r="D234" s="24">
        <v>96.97</v>
      </c>
      <c r="E234" s="24">
        <f t="shared" ref="E234:E249" si="32">(D234-$D$95)^2</f>
        <v>3943.6922366782023</v>
      </c>
      <c r="F234" s="24">
        <f t="shared" ref="F234:F249" si="33">B234-$B$95</f>
        <v>0.18000000000000016</v>
      </c>
      <c r="G234" s="24">
        <f t="shared" ref="G234:G249" si="34">D234-$D$95</f>
        <v>-62.798823529411777</v>
      </c>
      <c r="H234" s="24">
        <f t="shared" ref="H234:H249" si="35">F234*G234</f>
        <v>-11.30378823529413</v>
      </c>
    </row>
    <row r="235" spans="1:8" x14ac:dyDescent="0.3">
      <c r="A235" s="24">
        <v>3</v>
      </c>
      <c r="B235" s="24">
        <v>1.52</v>
      </c>
      <c r="C235" s="24">
        <f t="shared" si="31"/>
        <v>6.1008999999999984</v>
      </c>
      <c r="D235" s="24">
        <v>163.92</v>
      </c>
      <c r="E235" s="24">
        <f t="shared" si="32"/>
        <v>17.232266089965201</v>
      </c>
      <c r="F235" s="24">
        <f t="shared" si="33"/>
        <v>-2.4699999999999998</v>
      </c>
      <c r="G235" s="24">
        <f t="shared" si="34"/>
        <v>4.1511764705882115</v>
      </c>
      <c r="H235" s="24">
        <f t="shared" si="35"/>
        <v>-10.253405882352881</v>
      </c>
    </row>
    <row r="236" spans="1:8" x14ac:dyDescent="0.3">
      <c r="A236" s="24">
        <v>4</v>
      </c>
      <c r="B236" s="24">
        <v>10.039999999999999</v>
      </c>
      <c r="C236" s="24">
        <f t="shared" si="31"/>
        <v>36.602499999999985</v>
      </c>
      <c r="D236" s="24">
        <v>154.69999999999999</v>
      </c>
      <c r="E236" s="24">
        <f t="shared" si="32"/>
        <v>25.692971972318571</v>
      </c>
      <c r="F236" s="24">
        <f t="shared" si="33"/>
        <v>6.0499999999999989</v>
      </c>
      <c r="G236" s="24">
        <f t="shared" si="34"/>
        <v>-5.0688235294117874</v>
      </c>
      <c r="H236" s="24">
        <f t="shared" si="35"/>
        <v>-30.666382352941309</v>
      </c>
    </row>
    <row r="237" spans="1:8" x14ac:dyDescent="0.3">
      <c r="A237" s="24">
        <v>5</v>
      </c>
      <c r="B237" s="24">
        <v>6.02</v>
      </c>
      <c r="C237" s="24">
        <f t="shared" si="31"/>
        <v>4.1208999999999989</v>
      </c>
      <c r="D237" s="24">
        <v>151.61000000000001</v>
      </c>
      <c r="E237" s="24">
        <f t="shared" si="32"/>
        <v>66.566401384083008</v>
      </c>
      <c r="F237" s="24">
        <f t="shared" si="33"/>
        <v>2.0299999999999998</v>
      </c>
      <c r="G237" s="24">
        <f t="shared" si="34"/>
        <v>-8.1588235294117624</v>
      </c>
      <c r="H237" s="24">
        <f t="shared" si="35"/>
        <v>-16.562411764705875</v>
      </c>
    </row>
    <row r="238" spans="1:8" x14ac:dyDescent="0.3">
      <c r="A238" s="24">
        <v>6</v>
      </c>
      <c r="B238" s="24">
        <v>4.8099999999999996</v>
      </c>
      <c r="C238" s="24">
        <f t="shared" si="31"/>
        <v>0.67239999999999978</v>
      </c>
      <c r="D238" s="24">
        <v>147.82</v>
      </c>
      <c r="E238" s="24">
        <f t="shared" si="32"/>
        <v>142.77438373702466</v>
      </c>
      <c r="F238" s="24">
        <f t="shared" si="33"/>
        <v>0.81999999999999984</v>
      </c>
      <c r="G238" s="24">
        <f t="shared" si="34"/>
        <v>-11.948823529411783</v>
      </c>
      <c r="H238" s="24">
        <f t="shared" si="35"/>
        <v>-9.7980352941176605</v>
      </c>
    </row>
    <row r="239" spans="1:8" x14ac:dyDescent="0.3">
      <c r="A239" s="24">
        <v>7</v>
      </c>
      <c r="B239" s="24">
        <v>1.57</v>
      </c>
      <c r="C239" s="24">
        <f t="shared" si="31"/>
        <v>5.8563999999999998</v>
      </c>
      <c r="D239" s="24">
        <v>98.61</v>
      </c>
      <c r="E239" s="24">
        <f t="shared" si="32"/>
        <v>3740.4016955017314</v>
      </c>
      <c r="F239" s="24">
        <f t="shared" si="33"/>
        <v>-2.42</v>
      </c>
      <c r="G239" s="24">
        <f t="shared" si="34"/>
        <v>-61.158823529411777</v>
      </c>
      <c r="H239" s="24">
        <f t="shared" si="35"/>
        <v>148.00435294117651</v>
      </c>
    </row>
    <row r="240" spans="1:8" x14ac:dyDescent="0.3">
      <c r="A240" s="24">
        <v>8</v>
      </c>
      <c r="B240" s="24">
        <v>3.63</v>
      </c>
      <c r="C240" s="24">
        <f t="shared" si="31"/>
        <v>0.12959999999999991</v>
      </c>
      <c r="D240" s="24">
        <v>179.18</v>
      </c>
      <c r="E240" s="24">
        <f t="shared" si="32"/>
        <v>376.79377197231815</v>
      </c>
      <c r="F240" s="24">
        <f t="shared" si="33"/>
        <v>-0.35999999999999988</v>
      </c>
      <c r="G240" s="24">
        <f t="shared" si="34"/>
        <v>19.411176470588231</v>
      </c>
      <c r="H240" s="24">
        <f t="shared" si="35"/>
        <v>-6.9880235294117607</v>
      </c>
    </row>
    <row r="241" spans="1:10" x14ac:dyDescent="0.3">
      <c r="A241" s="24">
        <v>9</v>
      </c>
      <c r="B241" s="24">
        <v>1.57</v>
      </c>
      <c r="C241" s="24">
        <f t="shared" si="31"/>
        <v>5.8563999999999998</v>
      </c>
      <c r="D241" s="24">
        <v>125.19</v>
      </c>
      <c r="E241" s="24">
        <f t="shared" si="32"/>
        <v>1195.6950366782016</v>
      </c>
      <c r="F241" s="24">
        <f t="shared" si="33"/>
        <v>-2.42</v>
      </c>
      <c r="G241" s="24">
        <f t="shared" si="34"/>
        <v>-34.578823529411778</v>
      </c>
      <c r="H241" s="24">
        <f t="shared" si="35"/>
        <v>83.680752941176507</v>
      </c>
    </row>
    <row r="242" spans="1:10" x14ac:dyDescent="0.3">
      <c r="A242" s="24">
        <v>10</v>
      </c>
      <c r="B242" s="24">
        <v>4.6500000000000004</v>
      </c>
      <c r="C242" s="24">
        <f t="shared" si="31"/>
        <v>0.43560000000000076</v>
      </c>
      <c r="D242" s="24">
        <v>171.81</v>
      </c>
      <c r="E242" s="24">
        <f t="shared" si="32"/>
        <v>144.98993079584753</v>
      </c>
      <c r="F242" s="24">
        <f t="shared" si="33"/>
        <v>0.66000000000000059</v>
      </c>
      <c r="G242" s="24">
        <f t="shared" si="34"/>
        <v>12.041176470588226</v>
      </c>
      <c r="H242" s="24">
        <f t="shared" si="35"/>
        <v>7.9471764705882366</v>
      </c>
    </row>
    <row r="243" spans="1:10" x14ac:dyDescent="0.3">
      <c r="A243" s="24">
        <v>11</v>
      </c>
      <c r="B243" s="24">
        <v>2.97</v>
      </c>
      <c r="C243" s="24">
        <f t="shared" si="31"/>
        <v>1.0403999999999991</v>
      </c>
      <c r="D243" s="24">
        <v>200.23</v>
      </c>
      <c r="E243" s="24">
        <f t="shared" si="32"/>
        <v>1637.1068013840813</v>
      </c>
      <c r="F243" s="24">
        <f t="shared" si="33"/>
        <v>-1.0199999999999996</v>
      </c>
      <c r="G243" s="24">
        <f t="shared" si="34"/>
        <v>40.461176470588214</v>
      </c>
      <c r="H243" s="24">
        <f t="shared" si="35"/>
        <v>-41.27039999999996</v>
      </c>
    </row>
    <row r="244" spans="1:10" x14ac:dyDescent="0.3">
      <c r="A244" s="24">
        <v>12</v>
      </c>
      <c r="B244" s="24">
        <v>0.98</v>
      </c>
      <c r="C244" s="24">
        <f t="shared" si="31"/>
        <v>9.0600999999999985</v>
      </c>
      <c r="D244" s="24">
        <v>120.49</v>
      </c>
      <c r="E244" s="24">
        <f t="shared" si="32"/>
        <v>1542.8259778546726</v>
      </c>
      <c r="F244" s="24">
        <f t="shared" si="33"/>
        <v>-3.01</v>
      </c>
      <c r="G244" s="24">
        <f t="shared" si="34"/>
        <v>-39.278823529411781</v>
      </c>
      <c r="H244" s="24">
        <f t="shared" si="35"/>
        <v>118.22925882352945</v>
      </c>
    </row>
    <row r="245" spans="1:10" x14ac:dyDescent="0.3">
      <c r="A245" s="24">
        <v>13</v>
      </c>
      <c r="B245" s="24">
        <v>4.18</v>
      </c>
      <c r="C245" s="24">
        <f t="shared" si="31"/>
        <v>3.6099999999999979E-2</v>
      </c>
      <c r="D245" s="24">
        <v>95.83</v>
      </c>
      <c r="E245" s="24">
        <f t="shared" si="32"/>
        <v>4088.1731543252613</v>
      </c>
      <c r="F245" s="24">
        <f t="shared" si="33"/>
        <v>0.18999999999999995</v>
      </c>
      <c r="G245" s="24">
        <f t="shared" si="34"/>
        <v>-63.938823529411778</v>
      </c>
      <c r="H245" s="24">
        <f t="shared" si="35"/>
        <v>-12.148376470588234</v>
      </c>
    </row>
    <row r="246" spans="1:10" x14ac:dyDescent="0.3">
      <c r="A246" s="24">
        <v>14</v>
      </c>
      <c r="B246" s="24">
        <v>6.09</v>
      </c>
      <c r="C246" s="24">
        <f t="shared" si="31"/>
        <v>4.41</v>
      </c>
      <c r="D246" s="24">
        <v>196.67</v>
      </c>
      <c r="E246" s="24">
        <f t="shared" si="32"/>
        <v>1361.6968249134929</v>
      </c>
      <c r="F246" s="24">
        <f t="shared" si="33"/>
        <v>2.1</v>
      </c>
      <c r="G246" s="24">
        <f t="shared" si="34"/>
        <v>36.901176470588211</v>
      </c>
      <c r="H246" s="24">
        <f t="shared" si="35"/>
        <v>77.49247058823525</v>
      </c>
    </row>
    <row r="247" spans="1:10" x14ac:dyDescent="0.3">
      <c r="A247" s="24">
        <v>15</v>
      </c>
      <c r="B247" s="24">
        <v>3.09</v>
      </c>
      <c r="C247" s="24">
        <f t="shared" si="31"/>
        <v>0.80999999999999983</v>
      </c>
      <c r="D247" s="24">
        <v>275.97000000000003</v>
      </c>
      <c r="E247" s="24">
        <f t="shared" si="32"/>
        <v>13502.713413148793</v>
      </c>
      <c r="F247" s="24">
        <f t="shared" si="33"/>
        <v>-0.89999999999999991</v>
      </c>
      <c r="G247" s="24">
        <f t="shared" si="34"/>
        <v>116.20117647058825</v>
      </c>
      <c r="H247" s="24">
        <f t="shared" si="35"/>
        <v>-104.58105882352942</v>
      </c>
    </row>
    <row r="248" spans="1:10" x14ac:dyDescent="0.3">
      <c r="A248" s="24">
        <v>16</v>
      </c>
      <c r="B248" s="24">
        <v>3.08</v>
      </c>
      <c r="C248" s="24">
        <f t="shared" si="31"/>
        <v>0.8280999999999995</v>
      </c>
      <c r="D248" s="24">
        <v>289.58999999999997</v>
      </c>
      <c r="E248" s="24">
        <f t="shared" si="32"/>
        <v>16853.537860207602</v>
      </c>
      <c r="F248" s="24">
        <f t="shared" si="33"/>
        <v>-0.9099999999999997</v>
      </c>
      <c r="G248" s="24">
        <f t="shared" si="34"/>
        <v>129.8211764705882</v>
      </c>
      <c r="H248" s="24">
        <f t="shared" si="35"/>
        <v>-118.13727058823522</v>
      </c>
    </row>
    <row r="249" spans="1:10" x14ac:dyDescent="0.3">
      <c r="A249" s="24">
        <v>17</v>
      </c>
      <c r="B249" s="24">
        <v>1.76</v>
      </c>
      <c r="C249" s="24">
        <f t="shared" si="31"/>
        <v>4.9728999999999983</v>
      </c>
      <c r="D249" s="24">
        <v>105.71</v>
      </c>
      <c r="E249" s="24">
        <f t="shared" si="32"/>
        <v>2922.3564013840851</v>
      </c>
      <c r="F249" s="24">
        <f t="shared" si="33"/>
        <v>-2.2299999999999995</v>
      </c>
      <c r="G249" s="24">
        <f t="shared" si="34"/>
        <v>-54.058823529411782</v>
      </c>
      <c r="H249" s="24">
        <f t="shared" si="35"/>
        <v>120.55117647058825</v>
      </c>
    </row>
    <row r="250" spans="1:10" x14ac:dyDescent="0.3">
      <c r="A250" s="24" t="s">
        <v>98</v>
      </c>
      <c r="B250" s="24">
        <f>SUM(B233:B249)</f>
        <v>67.83</v>
      </c>
      <c r="C250" s="24">
        <f>SUM(C233:C249)</f>
        <v>94.728799999999964</v>
      </c>
      <c r="D250" s="24">
        <f>SUM(D233:D249)</f>
        <v>2716.07</v>
      </c>
      <c r="E250" s="24">
        <f>SUM(E233:E249)</f>
        <v>51886.206776470586</v>
      </c>
      <c r="F250" s="154"/>
      <c r="G250" s="154"/>
      <c r="H250" s="31">
        <f>SUM(H233:H249)</f>
        <v>127.42040000000009</v>
      </c>
      <c r="I250" s="31"/>
      <c r="J250" s="188"/>
    </row>
    <row r="251" spans="1:10" x14ac:dyDescent="0.3">
      <c r="A251" s="173" t="s">
        <v>3</v>
      </c>
      <c r="B251" s="24">
        <f>B250/17</f>
        <v>3.9899999999999998</v>
      </c>
      <c r="D251" s="24">
        <f>D250/17</f>
        <v>159.76882352941178</v>
      </c>
    </row>
    <row r="252" spans="1:10" x14ac:dyDescent="0.3">
      <c r="A252" s="24" t="s">
        <v>134</v>
      </c>
      <c r="B252" s="24">
        <f>VAR(B233:B249)</f>
        <v>5.9205499999999986</v>
      </c>
      <c r="C252" s="24">
        <f>SUM(C233:C249)/16</f>
        <v>5.9205499999999978</v>
      </c>
      <c r="D252" s="24">
        <f>VAR(D233:D249)</f>
        <v>3242.8879235294044</v>
      </c>
      <c r="E252" s="24">
        <f>SUM(E233:E249)/16</f>
        <v>3242.8879235294116</v>
      </c>
    </row>
    <row r="253" spans="1:10" ht="31.2" x14ac:dyDescent="0.3">
      <c r="A253" s="24" t="s">
        <v>4</v>
      </c>
      <c r="B253" s="24">
        <f>STDEV(B233:B249)</f>
        <v>2.4332180337980396</v>
      </c>
      <c r="C253" s="24">
        <f>SQRT(C252)</f>
        <v>2.4332180337980396</v>
      </c>
      <c r="D253" s="24">
        <f>STDEV(D233:D249)</f>
        <v>56.946360055137887</v>
      </c>
      <c r="E253" s="24">
        <f t="shared" ref="E253" si="36">SQRT(E252)</f>
        <v>56.946360055137951</v>
      </c>
      <c r="H253"/>
    </row>
    <row r="256" spans="1:10" x14ac:dyDescent="0.3">
      <c r="A256" s="24" t="s">
        <v>721</v>
      </c>
      <c r="D256" s="24" t="s">
        <v>316</v>
      </c>
      <c r="E256" s="189">
        <f>(1/16)*H250/(C253*E253)</f>
        <v>5.7474074309644484E-2</v>
      </c>
    </row>
    <row r="259" spans="1:8" x14ac:dyDescent="0.3">
      <c r="A259"/>
    </row>
    <row r="263" spans="1:8" x14ac:dyDescent="0.3">
      <c r="B263" s="24" t="s">
        <v>316</v>
      </c>
      <c r="C263" s="189">
        <f>E256/SQRT((1-E256^2)/(15))</f>
        <v>0.22296469345988404</v>
      </c>
      <c r="D263" s="24" t="s">
        <v>662</v>
      </c>
      <c r="E263" s="190" t="s">
        <v>605</v>
      </c>
    </row>
    <row r="265" spans="1:8" ht="18" x14ac:dyDescent="0.3">
      <c r="B265" s="24" t="s">
        <v>316</v>
      </c>
      <c r="C265" s="24" t="s">
        <v>725</v>
      </c>
      <c r="D265" s="24" t="s">
        <v>316</v>
      </c>
      <c r="E265" s="24">
        <f>TINV(0.05,15)</f>
        <v>2.1314495455597742</v>
      </c>
    </row>
    <row r="267" spans="1:8" ht="15.6" customHeight="1" x14ac:dyDescent="0.3">
      <c r="A267" s="342" t="s">
        <v>724</v>
      </c>
      <c r="B267" s="342"/>
      <c r="C267" s="342"/>
      <c r="D267" s="342"/>
      <c r="E267" s="342"/>
      <c r="F267" s="342"/>
      <c r="G267" s="342"/>
      <c r="H267" s="342"/>
    </row>
    <row r="268" spans="1:8" ht="17.399999999999999" customHeight="1" x14ac:dyDescent="0.3">
      <c r="A268" s="342"/>
      <c r="B268" s="342"/>
      <c r="C268" s="342"/>
      <c r="D268" s="342"/>
      <c r="E268" s="342"/>
      <c r="F268" s="342"/>
      <c r="G268" s="342"/>
      <c r="H268" s="342"/>
    </row>
    <row r="269" spans="1:8" x14ac:dyDescent="0.3">
      <c r="F269" s="24" t="s">
        <v>597</v>
      </c>
      <c r="H269" s="24" t="s">
        <v>726</v>
      </c>
    </row>
    <row r="270" spans="1:8" x14ac:dyDescent="0.3">
      <c r="A270" s="24">
        <v>1</v>
      </c>
      <c r="B270" s="24">
        <v>7.7</v>
      </c>
      <c r="C270" s="24">
        <v>16</v>
      </c>
      <c r="D270" s="24">
        <v>141.77000000000001</v>
      </c>
      <c r="E270" s="24">
        <v>7</v>
      </c>
      <c r="F270" s="24">
        <f>C270-E270</f>
        <v>9</v>
      </c>
      <c r="H270" s="24">
        <f>F270*F270</f>
        <v>81</v>
      </c>
    </row>
    <row r="271" spans="1:8" x14ac:dyDescent="0.3">
      <c r="A271" s="24">
        <v>2</v>
      </c>
      <c r="B271" s="24">
        <v>4.17</v>
      </c>
      <c r="C271" s="24">
        <v>10</v>
      </c>
      <c r="D271" s="24">
        <v>96.97</v>
      </c>
      <c r="E271" s="24">
        <v>2</v>
      </c>
      <c r="F271" s="24">
        <f t="shared" ref="F271:F286" si="37">C271-E271</f>
        <v>8</v>
      </c>
      <c r="H271" s="24">
        <f t="shared" ref="H271:H286" si="38">F271*F271</f>
        <v>64</v>
      </c>
    </row>
    <row r="272" spans="1:8" x14ac:dyDescent="0.3">
      <c r="A272" s="24">
        <v>3</v>
      </c>
      <c r="B272" s="24">
        <v>1.52</v>
      </c>
      <c r="C272" s="24">
        <v>2</v>
      </c>
      <c r="D272" s="24">
        <v>163.92</v>
      </c>
      <c r="E272" s="24">
        <v>11</v>
      </c>
      <c r="F272" s="24">
        <f t="shared" si="37"/>
        <v>-9</v>
      </c>
      <c r="H272" s="24">
        <f t="shared" si="38"/>
        <v>81</v>
      </c>
    </row>
    <row r="273" spans="1:8" x14ac:dyDescent="0.3">
      <c r="A273" s="24">
        <v>4</v>
      </c>
      <c r="B273" s="24">
        <v>10.039999999999999</v>
      </c>
      <c r="C273" s="24">
        <v>17</v>
      </c>
      <c r="D273" s="24">
        <v>154.69999999999999</v>
      </c>
      <c r="E273" s="24">
        <v>10</v>
      </c>
      <c r="F273" s="24">
        <f t="shared" si="37"/>
        <v>7</v>
      </c>
      <c r="H273" s="24">
        <f t="shared" si="38"/>
        <v>49</v>
      </c>
    </row>
    <row r="274" spans="1:8" x14ac:dyDescent="0.3">
      <c r="A274" s="24">
        <v>5</v>
      </c>
      <c r="B274" s="24">
        <v>6.02</v>
      </c>
      <c r="C274" s="24">
        <v>14</v>
      </c>
      <c r="D274" s="24">
        <v>151.61000000000001</v>
      </c>
      <c r="E274" s="24">
        <v>9</v>
      </c>
      <c r="F274" s="24">
        <f t="shared" si="37"/>
        <v>5</v>
      </c>
      <c r="H274" s="24">
        <f t="shared" si="38"/>
        <v>25</v>
      </c>
    </row>
    <row r="275" spans="1:8" x14ac:dyDescent="0.3">
      <c r="A275" s="24">
        <v>6</v>
      </c>
      <c r="B275" s="24">
        <v>4.8099999999999996</v>
      </c>
      <c r="C275" s="24">
        <v>13</v>
      </c>
      <c r="D275" s="24">
        <v>147.82</v>
      </c>
      <c r="E275" s="24">
        <v>8</v>
      </c>
      <c r="F275" s="24">
        <f t="shared" si="37"/>
        <v>5</v>
      </c>
      <c r="H275" s="24">
        <f t="shared" si="38"/>
        <v>25</v>
      </c>
    </row>
    <row r="276" spans="1:8" x14ac:dyDescent="0.3">
      <c r="A276" s="24">
        <v>7</v>
      </c>
      <c r="B276" s="24">
        <v>1.57</v>
      </c>
      <c r="C276" s="24">
        <v>3.5</v>
      </c>
      <c r="D276" s="24">
        <v>98.61</v>
      </c>
      <c r="E276" s="24">
        <v>3</v>
      </c>
      <c r="F276" s="24">
        <f t="shared" si="37"/>
        <v>0.5</v>
      </c>
      <c r="H276" s="24">
        <f t="shared" si="38"/>
        <v>0.25</v>
      </c>
    </row>
    <row r="277" spans="1:8" x14ac:dyDescent="0.3">
      <c r="A277" s="24">
        <v>8</v>
      </c>
      <c r="B277" s="24">
        <v>3.63</v>
      </c>
      <c r="C277" s="24">
        <v>9</v>
      </c>
      <c r="D277" s="24">
        <v>179.18</v>
      </c>
      <c r="E277" s="24">
        <v>13</v>
      </c>
      <c r="F277" s="24">
        <f t="shared" si="37"/>
        <v>-4</v>
      </c>
      <c r="H277" s="24">
        <f t="shared" si="38"/>
        <v>16</v>
      </c>
    </row>
    <row r="278" spans="1:8" x14ac:dyDescent="0.3">
      <c r="A278" s="24">
        <v>9</v>
      </c>
      <c r="B278" s="24">
        <v>1.57</v>
      </c>
      <c r="C278" s="24">
        <v>3.5</v>
      </c>
      <c r="D278" s="24">
        <v>125.19</v>
      </c>
      <c r="E278" s="24">
        <v>6</v>
      </c>
      <c r="F278" s="24">
        <f t="shared" si="37"/>
        <v>-2.5</v>
      </c>
      <c r="H278" s="24">
        <f t="shared" si="38"/>
        <v>6.25</v>
      </c>
    </row>
    <row r="279" spans="1:8" x14ac:dyDescent="0.3">
      <c r="A279" s="24">
        <v>10</v>
      </c>
      <c r="B279" s="24">
        <v>4.6500000000000004</v>
      </c>
      <c r="C279" s="24">
        <v>12</v>
      </c>
      <c r="D279" s="24">
        <v>171.81</v>
      </c>
      <c r="E279" s="24">
        <v>12</v>
      </c>
      <c r="F279" s="24">
        <f t="shared" si="37"/>
        <v>0</v>
      </c>
      <c r="H279" s="24">
        <f t="shared" si="38"/>
        <v>0</v>
      </c>
    </row>
    <row r="280" spans="1:8" x14ac:dyDescent="0.3">
      <c r="A280" s="24">
        <v>11</v>
      </c>
      <c r="B280" s="24">
        <v>2.97</v>
      </c>
      <c r="C280" s="24">
        <v>6</v>
      </c>
      <c r="D280" s="24">
        <v>200.23</v>
      </c>
      <c r="E280" s="24">
        <v>15</v>
      </c>
      <c r="F280" s="24">
        <f t="shared" si="37"/>
        <v>-9</v>
      </c>
      <c r="H280" s="24">
        <f t="shared" si="38"/>
        <v>81</v>
      </c>
    </row>
    <row r="281" spans="1:8" x14ac:dyDescent="0.3">
      <c r="A281" s="24">
        <v>12</v>
      </c>
      <c r="B281" s="24">
        <v>0.98</v>
      </c>
      <c r="C281" s="24">
        <v>1</v>
      </c>
      <c r="D281" s="24">
        <v>120.49</v>
      </c>
      <c r="E281" s="24">
        <v>5</v>
      </c>
      <c r="F281" s="24">
        <f t="shared" si="37"/>
        <v>-4</v>
      </c>
      <c r="H281" s="24">
        <f t="shared" si="38"/>
        <v>16</v>
      </c>
    </row>
    <row r="282" spans="1:8" x14ac:dyDescent="0.3">
      <c r="A282" s="24">
        <v>13</v>
      </c>
      <c r="B282" s="24">
        <v>4.18</v>
      </c>
      <c r="C282" s="24">
        <v>11</v>
      </c>
      <c r="D282" s="24">
        <v>95.83</v>
      </c>
      <c r="E282" s="24">
        <v>1</v>
      </c>
      <c r="F282" s="24">
        <f t="shared" si="37"/>
        <v>10</v>
      </c>
      <c r="H282" s="24">
        <f t="shared" si="38"/>
        <v>100</v>
      </c>
    </row>
    <row r="283" spans="1:8" x14ac:dyDescent="0.3">
      <c r="A283" s="24">
        <v>14</v>
      </c>
      <c r="B283" s="24">
        <v>6.09</v>
      </c>
      <c r="C283" s="24">
        <v>15</v>
      </c>
      <c r="D283" s="24">
        <v>196.67</v>
      </c>
      <c r="E283" s="24">
        <v>14</v>
      </c>
      <c r="F283" s="24">
        <f t="shared" si="37"/>
        <v>1</v>
      </c>
      <c r="H283" s="24">
        <f t="shared" si="38"/>
        <v>1</v>
      </c>
    </row>
    <row r="284" spans="1:8" x14ac:dyDescent="0.3">
      <c r="A284" s="24">
        <v>15</v>
      </c>
      <c r="B284" s="24">
        <v>3.09</v>
      </c>
      <c r="C284" s="24">
        <v>8</v>
      </c>
      <c r="D284" s="24">
        <v>275.97000000000003</v>
      </c>
      <c r="E284" s="24">
        <v>16</v>
      </c>
      <c r="F284" s="24">
        <f t="shared" si="37"/>
        <v>-8</v>
      </c>
      <c r="H284" s="24">
        <f t="shared" si="38"/>
        <v>64</v>
      </c>
    </row>
    <row r="285" spans="1:8" x14ac:dyDescent="0.3">
      <c r="A285" s="24">
        <v>16</v>
      </c>
      <c r="B285" s="24">
        <v>3.08</v>
      </c>
      <c r="C285" s="24">
        <v>7</v>
      </c>
      <c r="D285" s="24">
        <v>289.58999999999997</v>
      </c>
      <c r="E285" s="24">
        <v>17</v>
      </c>
      <c r="F285" s="24">
        <f t="shared" si="37"/>
        <v>-10</v>
      </c>
      <c r="H285" s="24">
        <f t="shared" si="38"/>
        <v>100</v>
      </c>
    </row>
    <row r="286" spans="1:8" x14ac:dyDescent="0.3">
      <c r="A286" s="24">
        <v>17</v>
      </c>
      <c r="B286" s="24">
        <v>1.76</v>
      </c>
      <c r="C286" s="24">
        <v>5</v>
      </c>
      <c r="D286" s="24">
        <v>105.71</v>
      </c>
      <c r="E286" s="24">
        <v>4</v>
      </c>
      <c r="F286" s="24">
        <f t="shared" si="37"/>
        <v>1</v>
      </c>
      <c r="H286" s="24">
        <f t="shared" si="38"/>
        <v>1</v>
      </c>
    </row>
    <row r="287" spans="1:8" x14ac:dyDescent="0.3">
      <c r="H287" s="24">
        <f>SUM(H270:H286)</f>
        <v>710.5</v>
      </c>
    </row>
    <row r="289" spans="1:11" x14ac:dyDescent="0.3">
      <c r="C289" s="24" t="s">
        <v>316</v>
      </c>
      <c r="D289" s="24">
        <f>1-(6*H287)/(17*(17^2-1))</f>
        <v>0.12928921568627449</v>
      </c>
    </row>
    <row r="290" spans="1:11" x14ac:dyDescent="0.3">
      <c r="A290"/>
      <c r="K290" s="173"/>
    </row>
    <row r="292" spans="1:11" x14ac:dyDescent="0.3">
      <c r="A292"/>
    </row>
    <row r="294" spans="1:11" x14ac:dyDescent="0.3">
      <c r="B294" s="24" t="s">
        <v>316</v>
      </c>
      <c r="C294" s="24">
        <v>0.4</v>
      </c>
    </row>
    <row r="296" spans="1:11" x14ac:dyDescent="0.3">
      <c r="A296" s="342" t="s">
        <v>729</v>
      </c>
      <c r="B296" s="342"/>
      <c r="C296" s="342"/>
      <c r="D296" s="342"/>
      <c r="E296" s="342"/>
      <c r="F296" s="342"/>
      <c r="G296" s="342"/>
      <c r="H296" s="342"/>
    </row>
    <row r="360" spans="1:8" ht="16.2" thickBot="1" x14ac:dyDescent="0.35"/>
    <row r="361" spans="1:8" ht="18" thickBot="1" x14ac:dyDescent="0.35">
      <c r="A361" s="338" t="s">
        <v>45</v>
      </c>
      <c r="B361" s="339"/>
      <c r="C361" s="339"/>
      <c r="D361" s="339"/>
      <c r="E361" s="339"/>
      <c r="F361" s="339"/>
      <c r="G361" s="339"/>
      <c r="H361" s="340"/>
    </row>
    <row r="363" spans="1:8" x14ac:dyDescent="0.3">
      <c r="A363" s="24">
        <v>1</v>
      </c>
      <c r="B363" s="24">
        <v>1</v>
      </c>
      <c r="C363" s="24">
        <v>1</v>
      </c>
      <c r="D363" s="24">
        <f>B363-C363</f>
        <v>0</v>
      </c>
      <c r="E363" s="24">
        <f>D363*D363</f>
        <v>0</v>
      </c>
    </row>
    <row r="364" spans="1:8" x14ac:dyDescent="0.3">
      <c r="A364" s="24">
        <v>2</v>
      </c>
      <c r="B364" s="24">
        <v>2</v>
      </c>
      <c r="C364" s="24">
        <v>4</v>
      </c>
      <c r="D364" s="24">
        <f t="shared" ref="D364:D382" si="39">B364-C364</f>
        <v>-2</v>
      </c>
      <c r="E364" s="24">
        <f t="shared" ref="E364:E382" si="40">D364*D364</f>
        <v>4</v>
      </c>
    </row>
    <row r="365" spans="1:8" x14ac:dyDescent="0.3">
      <c r="A365" s="24">
        <v>3</v>
      </c>
      <c r="B365" s="24">
        <v>3</v>
      </c>
      <c r="C365" s="24">
        <v>2</v>
      </c>
      <c r="D365" s="24">
        <f t="shared" si="39"/>
        <v>1</v>
      </c>
      <c r="E365" s="24">
        <f t="shared" si="40"/>
        <v>1</v>
      </c>
    </row>
    <row r="366" spans="1:8" x14ac:dyDescent="0.3">
      <c r="A366" s="24">
        <v>4</v>
      </c>
      <c r="B366" s="24">
        <v>4</v>
      </c>
      <c r="C366" s="24">
        <v>14</v>
      </c>
      <c r="D366" s="24">
        <f t="shared" si="39"/>
        <v>-10</v>
      </c>
      <c r="E366" s="24">
        <f t="shared" si="40"/>
        <v>100</v>
      </c>
    </row>
    <row r="367" spans="1:8" x14ac:dyDescent="0.3">
      <c r="A367" s="24">
        <v>5</v>
      </c>
      <c r="B367" s="24">
        <v>5</v>
      </c>
      <c r="C367" s="24">
        <v>5</v>
      </c>
      <c r="D367" s="24">
        <f t="shared" si="39"/>
        <v>0</v>
      </c>
      <c r="E367" s="24">
        <f t="shared" si="40"/>
        <v>0</v>
      </c>
    </row>
    <row r="368" spans="1:8" x14ac:dyDescent="0.3">
      <c r="A368" s="24">
        <v>6</v>
      </c>
      <c r="B368" s="24">
        <v>6</v>
      </c>
      <c r="C368" s="24">
        <v>9.5</v>
      </c>
      <c r="D368" s="24">
        <f t="shared" si="39"/>
        <v>-3.5</v>
      </c>
      <c r="E368" s="24">
        <f t="shared" si="40"/>
        <v>12.25</v>
      </c>
    </row>
    <row r="369" spans="1:5" x14ac:dyDescent="0.3">
      <c r="A369" s="24">
        <v>7</v>
      </c>
      <c r="B369" s="24">
        <v>7</v>
      </c>
      <c r="C369" s="24">
        <v>12</v>
      </c>
      <c r="D369" s="24">
        <f t="shared" si="39"/>
        <v>-5</v>
      </c>
      <c r="E369" s="24">
        <f t="shared" si="40"/>
        <v>25</v>
      </c>
    </row>
    <row r="370" spans="1:5" x14ac:dyDescent="0.3">
      <c r="A370" s="24">
        <v>8</v>
      </c>
      <c r="B370" s="24">
        <v>8.5</v>
      </c>
      <c r="C370" s="24">
        <v>7</v>
      </c>
      <c r="D370" s="24">
        <f t="shared" si="39"/>
        <v>1.5</v>
      </c>
      <c r="E370" s="24">
        <f t="shared" si="40"/>
        <v>2.25</v>
      </c>
    </row>
    <row r="371" spans="1:5" x14ac:dyDescent="0.3">
      <c r="A371" s="24">
        <v>9</v>
      </c>
      <c r="B371" s="24">
        <v>8.5</v>
      </c>
      <c r="C371" s="24">
        <v>9.5</v>
      </c>
      <c r="D371" s="24">
        <f t="shared" si="39"/>
        <v>-1</v>
      </c>
      <c r="E371" s="24">
        <f t="shared" si="40"/>
        <v>1</v>
      </c>
    </row>
    <row r="372" spans="1:5" x14ac:dyDescent="0.3">
      <c r="A372" s="24">
        <v>10</v>
      </c>
      <c r="B372" s="24">
        <v>10</v>
      </c>
      <c r="C372" s="24">
        <v>11</v>
      </c>
      <c r="D372" s="24">
        <f t="shared" si="39"/>
        <v>-1</v>
      </c>
      <c r="E372" s="24">
        <f t="shared" si="40"/>
        <v>1</v>
      </c>
    </row>
    <row r="373" spans="1:5" x14ac:dyDescent="0.3">
      <c r="A373" s="24">
        <v>11</v>
      </c>
      <c r="B373" s="24">
        <v>11</v>
      </c>
      <c r="C373" s="24">
        <v>15</v>
      </c>
      <c r="D373" s="24">
        <f t="shared" si="39"/>
        <v>-4</v>
      </c>
      <c r="E373" s="24">
        <f t="shared" si="40"/>
        <v>16</v>
      </c>
    </row>
    <row r="374" spans="1:5" x14ac:dyDescent="0.3">
      <c r="A374" s="24">
        <v>12</v>
      </c>
      <c r="B374" s="24">
        <v>12</v>
      </c>
      <c r="C374" s="24">
        <v>3</v>
      </c>
      <c r="D374" s="24">
        <f t="shared" si="39"/>
        <v>9</v>
      </c>
      <c r="E374" s="24">
        <f t="shared" si="40"/>
        <v>81</v>
      </c>
    </row>
    <row r="375" spans="1:5" x14ac:dyDescent="0.3">
      <c r="A375" s="24">
        <v>13</v>
      </c>
      <c r="B375" s="24">
        <v>13</v>
      </c>
      <c r="C375" s="24">
        <v>8</v>
      </c>
      <c r="D375" s="24">
        <f t="shared" si="39"/>
        <v>5</v>
      </c>
      <c r="E375" s="24">
        <f t="shared" si="40"/>
        <v>25</v>
      </c>
    </row>
    <row r="376" spans="1:5" x14ac:dyDescent="0.3">
      <c r="A376" s="24">
        <v>14</v>
      </c>
      <c r="B376" s="24">
        <v>14</v>
      </c>
      <c r="C376" s="24">
        <v>18</v>
      </c>
      <c r="D376" s="24">
        <f t="shared" si="39"/>
        <v>-4</v>
      </c>
      <c r="E376" s="24">
        <f t="shared" si="40"/>
        <v>16</v>
      </c>
    </row>
    <row r="377" spans="1:5" x14ac:dyDescent="0.3">
      <c r="A377" s="24">
        <v>15</v>
      </c>
      <c r="B377" s="24">
        <v>15</v>
      </c>
      <c r="C377" s="24">
        <v>16</v>
      </c>
      <c r="D377" s="24">
        <f t="shared" si="39"/>
        <v>-1</v>
      </c>
      <c r="E377" s="24">
        <f t="shared" si="40"/>
        <v>1</v>
      </c>
    </row>
    <row r="378" spans="1:5" x14ac:dyDescent="0.3">
      <c r="A378" s="24">
        <v>16</v>
      </c>
      <c r="B378" s="24">
        <v>16</v>
      </c>
      <c r="C378" s="24">
        <v>13</v>
      </c>
      <c r="D378" s="24">
        <f t="shared" si="39"/>
        <v>3</v>
      </c>
      <c r="E378" s="24">
        <f t="shared" si="40"/>
        <v>9</v>
      </c>
    </row>
    <row r="379" spans="1:5" x14ac:dyDescent="0.3">
      <c r="A379" s="24">
        <v>17</v>
      </c>
      <c r="B379" s="24">
        <v>17</v>
      </c>
      <c r="C379" s="24">
        <v>6</v>
      </c>
      <c r="D379" s="24">
        <f t="shared" si="39"/>
        <v>11</v>
      </c>
      <c r="E379" s="24">
        <f t="shared" si="40"/>
        <v>121</v>
      </c>
    </row>
    <row r="380" spans="1:5" x14ac:dyDescent="0.3">
      <c r="A380" s="24">
        <v>18</v>
      </c>
      <c r="B380" s="24">
        <v>18</v>
      </c>
      <c r="C380" s="24">
        <v>20</v>
      </c>
      <c r="D380" s="24">
        <f t="shared" si="39"/>
        <v>-2</v>
      </c>
      <c r="E380" s="24">
        <f t="shared" si="40"/>
        <v>4</v>
      </c>
    </row>
    <row r="381" spans="1:5" x14ac:dyDescent="0.3">
      <c r="A381" s="24">
        <v>19</v>
      </c>
      <c r="B381" s="24">
        <v>19</v>
      </c>
      <c r="C381" s="24">
        <v>17</v>
      </c>
      <c r="D381" s="24">
        <f t="shared" si="39"/>
        <v>2</v>
      </c>
      <c r="E381" s="24">
        <f t="shared" si="40"/>
        <v>4</v>
      </c>
    </row>
    <row r="382" spans="1:5" x14ac:dyDescent="0.3">
      <c r="A382" s="24">
        <v>20</v>
      </c>
      <c r="B382" s="24">
        <v>20</v>
      </c>
      <c r="C382" s="24">
        <v>19</v>
      </c>
      <c r="D382" s="24">
        <f t="shared" si="39"/>
        <v>1</v>
      </c>
      <c r="E382" s="24">
        <f t="shared" si="40"/>
        <v>1</v>
      </c>
    </row>
    <row r="383" spans="1:5" x14ac:dyDescent="0.3">
      <c r="E383" s="24">
        <f>SUM(E363:E382)</f>
        <v>424.5</v>
      </c>
    </row>
    <row r="386" spans="1:8" x14ac:dyDescent="0.3">
      <c r="C386" s="24" t="s">
        <v>316</v>
      </c>
      <c r="D386" s="189">
        <f>1-((6*E383)/(20*399))</f>
        <v>0.680827067669173</v>
      </c>
    </row>
    <row r="389" spans="1:8" x14ac:dyDescent="0.3">
      <c r="A389"/>
    </row>
    <row r="391" spans="1:8" x14ac:dyDescent="0.3">
      <c r="B391" s="24" t="s">
        <v>316</v>
      </c>
      <c r="C391" s="24">
        <v>0.4</v>
      </c>
    </row>
    <row r="393" spans="1:8" x14ac:dyDescent="0.3">
      <c r="A393" s="342" t="s">
        <v>730</v>
      </c>
      <c r="B393" s="342"/>
      <c r="C393" s="342"/>
      <c r="D393" s="342"/>
      <c r="E393" s="342"/>
      <c r="F393" s="342"/>
      <c r="G393" s="342"/>
      <c r="H393" s="342"/>
    </row>
    <row r="394" spans="1:8" ht="16.2" thickBot="1" x14ac:dyDescent="0.35"/>
    <row r="395" spans="1:8" ht="18" thickBot="1" x14ac:dyDescent="0.35">
      <c r="A395" s="338" t="s">
        <v>46</v>
      </c>
      <c r="B395" s="339"/>
      <c r="C395" s="339"/>
      <c r="D395" s="339"/>
      <c r="E395" s="339"/>
      <c r="F395" s="339"/>
      <c r="G395" s="339"/>
      <c r="H395" s="340"/>
    </row>
    <row r="396" spans="1:8" x14ac:dyDescent="0.3">
      <c r="A396" s="25"/>
      <c r="B396" s="83"/>
      <c r="C396" s="25"/>
      <c r="D396" s="83"/>
      <c r="E396" s="25"/>
      <c r="F396" s="25"/>
      <c r="G396" s="25"/>
      <c r="H396" s="25"/>
    </row>
    <row r="397" spans="1:8" x14ac:dyDescent="0.3">
      <c r="A397" s="24">
        <v>1</v>
      </c>
      <c r="B397" s="24">
        <v>5500</v>
      </c>
      <c r="C397" s="24">
        <f>(B397-$B$406)^2</f>
        <v>15625</v>
      </c>
      <c r="D397" s="24">
        <v>420</v>
      </c>
      <c r="E397" s="24">
        <f>(D397-$D$406)^2</f>
        <v>225</v>
      </c>
      <c r="F397" s="24">
        <f>B397-$B$406</f>
        <v>-125</v>
      </c>
      <c r="G397" s="24">
        <f>D397-$D$406</f>
        <v>15</v>
      </c>
      <c r="H397" s="24">
        <f>F397*G397</f>
        <v>-1875</v>
      </c>
    </row>
    <row r="398" spans="1:8" x14ac:dyDescent="0.3">
      <c r="A398" s="24">
        <v>2</v>
      </c>
      <c r="B398" s="24">
        <v>6000</v>
      </c>
      <c r="C398" s="24">
        <f t="shared" ref="C398:C404" si="41">(B398-$B$406)^2</f>
        <v>140625</v>
      </c>
      <c r="D398" s="24">
        <v>380</v>
      </c>
      <c r="E398" s="24">
        <f t="shared" ref="E398:E404" si="42">(D398-$D$406)^2</f>
        <v>625</v>
      </c>
      <c r="F398" s="24">
        <f t="shared" ref="F398:F404" si="43">B398-$B$406</f>
        <v>375</v>
      </c>
      <c r="G398" s="24">
        <f t="shared" ref="G398:G404" si="44">D398-$D$406</f>
        <v>-25</v>
      </c>
      <c r="H398" s="24">
        <f t="shared" ref="H398:H404" si="45">F398*G398</f>
        <v>-9375</v>
      </c>
    </row>
    <row r="399" spans="1:8" x14ac:dyDescent="0.3">
      <c r="A399" s="24">
        <v>3</v>
      </c>
      <c r="B399" s="24">
        <v>6500</v>
      </c>
      <c r="C399" s="24">
        <f t="shared" si="41"/>
        <v>765625</v>
      </c>
      <c r="D399" s="24">
        <v>350</v>
      </c>
      <c r="E399" s="24">
        <f t="shared" si="42"/>
        <v>3025</v>
      </c>
      <c r="F399" s="24">
        <f t="shared" si="43"/>
        <v>875</v>
      </c>
      <c r="G399" s="24">
        <f t="shared" si="44"/>
        <v>-55</v>
      </c>
      <c r="H399" s="24">
        <f t="shared" si="45"/>
        <v>-48125</v>
      </c>
    </row>
    <row r="400" spans="1:8" x14ac:dyDescent="0.3">
      <c r="A400" s="24">
        <v>4</v>
      </c>
      <c r="B400" s="24">
        <v>6000</v>
      </c>
      <c r="C400" s="24">
        <f t="shared" si="41"/>
        <v>140625</v>
      </c>
      <c r="D400" s="24">
        <v>400</v>
      </c>
      <c r="E400" s="24">
        <f t="shared" si="42"/>
        <v>25</v>
      </c>
      <c r="F400" s="24">
        <f t="shared" si="43"/>
        <v>375</v>
      </c>
      <c r="G400" s="24">
        <f t="shared" si="44"/>
        <v>-5</v>
      </c>
      <c r="H400" s="24">
        <f t="shared" si="45"/>
        <v>-1875</v>
      </c>
    </row>
    <row r="401" spans="1:8" x14ac:dyDescent="0.3">
      <c r="A401" s="24">
        <v>5</v>
      </c>
      <c r="B401" s="24">
        <v>5000</v>
      </c>
      <c r="C401" s="24">
        <f t="shared" si="41"/>
        <v>390625</v>
      </c>
      <c r="D401" s="24">
        <v>440</v>
      </c>
      <c r="E401" s="24">
        <f t="shared" si="42"/>
        <v>1225</v>
      </c>
      <c r="F401" s="24">
        <f t="shared" si="43"/>
        <v>-625</v>
      </c>
      <c r="G401" s="24">
        <f t="shared" si="44"/>
        <v>35</v>
      </c>
      <c r="H401" s="24">
        <f t="shared" si="45"/>
        <v>-21875</v>
      </c>
    </row>
    <row r="402" spans="1:8" x14ac:dyDescent="0.3">
      <c r="A402" s="24">
        <v>6</v>
      </c>
      <c r="B402" s="24">
        <v>6500</v>
      </c>
      <c r="C402" s="24">
        <f t="shared" si="41"/>
        <v>765625</v>
      </c>
      <c r="D402" s="24">
        <v>380</v>
      </c>
      <c r="E402" s="24">
        <f t="shared" si="42"/>
        <v>625</v>
      </c>
      <c r="F402" s="24">
        <f t="shared" si="43"/>
        <v>875</v>
      </c>
      <c r="G402" s="24">
        <f t="shared" si="44"/>
        <v>-25</v>
      </c>
      <c r="H402" s="24">
        <f t="shared" si="45"/>
        <v>-21875</v>
      </c>
    </row>
    <row r="403" spans="1:8" x14ac:dyDescent="0.3">
      <c r="A403" s="24">
        <v>7</v>
      </c>
      <c r="B403" s="24">
        <v>4500</v>
      </c>
      <c r="C403" s="24">
        <f t="shared" si="41"/>
        <v>1265625</v>
      </c>
      <c r="D403" s="24">
        <v>450</v>
      </c>
      <c r="E403" s="24">
        <f t="shared" si="42"/>
        <v>2025</v>
      </c>
      <c r="F403" s="24">
        <f t="shared" si="43"/>
        <v>-1125</v>
      </c>
      <c r="G403" s="24">
        <f t="shared" si="44"/>
        <v>45</v>
      </c>
      <c r="H403" s="24">
        <f t="shared" si="45"/>
        <v>-50625</v>
      </c>
    </row>
    <row r="404" spans="1:8" x14ac:dyDescent="0.3">
      <c r="A404" s="24">
        <v>8</v>
      </c>
      <c r="B404" s="24">
        <v>5000</v>
      </c>
      <c r="C404" s="24">
        <f t="shared" si="41"/>
        <v>390625</v>
      </c>
      <c r="D404" s="24">
        <v>420</v>
      </c>
      <c r="E404" s="24">
        <f t="shared" si="42"/>
        <v>225</v>
      </c>
      <c r="F404" s="24">
        <f t="shared" si="43"/>
        <v>-625</v>
      </c>
      <c r="G404" s="24">
        <f t="shared" si="44"/>
        <v>15</v>
      </c>
      <c r="H404" s="24">
        <f t="shared" si="45"/>
        <v>-9375</v>
      </c>
    </row>
    <row r="405" spans="1:8" x14ac:dyDescent="0.3">
      <c r="A405" s="24" t="s">
        <v>98</v>
      </c>
      <c r="B405" s="24">
        <f>SUM(B397:B404)</f>
        <v>45000</v>
      </c>
      <c r="C405" s="24">
        <f>SUM(C397:C404)</f>
        <v>3875000</v>
      </c>
      <c r="D405" s="24">
        <f>SUM(D397:D404)</f>
        <v>3240</v>
      </c>
      <c r="E405" s="24">
        <f>SUM(E397:E404)</f>
        <v>8000</v>
      </c>
      <c r="F405" s="154"/>
      <c r="G405" s="154"/>
      <c r="H405" s="31">
        <f>SUM(H397:H404)</f>
        <v>-165000</v>
      </c>
    </row>
    <row r="406" spans="1:8" x14ac:dyDescent="0.3">
      <c r="A406" s="173" t="s">
        <v>3</v>
      </c>
      <c r="B406" s="24">
        <f>B405/8</f>
        <v>5625</v>
      </c>
      <c r="D406" s="24">
        <f>D405/8</f>
        <v>405</v>
      </c>
    </row>
    <row r="407" spans="1:8" x14ac:dyDescent="0.3">
      <c r="A407" s="24" t="s">
        <v>134</v>
      </c>
      <c r="B407" s="24">
        <f>VAR(B397:B404)</f>
        <v>553571.42857142852</v>
      </c>
      <c r="C407" s="24">
        <f>SUM(C397:C404)/7</f>
        <v>553571.42857142852</v>
      </c>
      <c r="D407" s="24">
        <f>VAR(D397:D404)</f>
        <v>1142.8571428571429</v>
      </c>
      <c r="E407" s="24">
        <f>SUM(E397:E404)/7</f>
        <v>1142.8571428571429</v>
      </c>
    </row>
    <row r="408" spans="1:8" ht="31.2" x14ac:dyDescent="0.3">
      <c r="A408" s="24" t="s">
        <v>4</v>
      </c>
      <c r="B408" s="24">
        <f>STDEV(B397:B404)</f>
        <v>744.02380914284493</v>
      </c>
      <c r="C408" s="24">
        <f>SQRT(C407)</f>
        <v>744.02380914284493</v>
      </c>
      <c r="D408" s="24">
        <f>STDEV(D397:D404)</f>
        <v>33.806170189140666</v>
      </c>
      <c r="E408" s="24">
        <f t="shared" ref="E408" si="46">SQRT(E407)</f>
        <v>33.806170189140666</v>
      </c>
    </row>
    <row r="410" spans="1:8" x14ac:dyDescent="0.3">
      <c r="A410"/>
    </row>
    <row r="411" spans="1:8" x14ac:dyDescent="0.3">
      <c r="D411" s="24" t="s">
        <v>316</v>
      </c>
      <c r="E411" s="24">
        <f>H405/C405</f>
        <v>-4.2580645161290322E-2</v>
      </c>
    </row>
    <row r="414" spans="1:8" x14ac:dyDescent="0.3">
      <c r="B414" s="24" t="s">
        <v>316</v>
      </c>
      <c r="C414" s="24">
        <f>D406-E411*B406</f>
        <v>644.51612903225805</v>
      </c>
    </row>
    <row r="416" spans="1:8" x14ac:dyDescent="0.3">
      <c r="C416" s="260" t="s">
        <v>53</v>
      </c>
      <c r="D416" s="260"/>
      <c r="E416" s="260"/>
    </row>
    <row r="417" spans="1:8" x14ac:dyDescent="0.3">
      <c r="A417"/>
      <c r="B417" s="24" t="s">
        <v>316</v>
      </c>
      <c r="C417" s="256" t="s">
        <v>797</v>
      </c>
      <c r="D417" s="256"/>
      <c r="E417" s="256"/>
      <c r="F417" s="151"/>
    </row>
    <row r="419" spans="1:8" x14ac:dyDescent="0.3">
      <c r="A419" s="260" t="s">
        <v>54</v>
      </c>
      <c r="B419" s="260"/>
      <c r="C419" s="260"/>
      <c r="D419" s="260"/>
      <c r="E419" s="260"/>
      <c r="F419" s="260"/>
      <c r="G419" s="260"/>
      <c r="H419" s="260"/>
    </row>
    <row r="420" spans="1:8" x14ac:dyDescent="0.3">
      <c r="A420" s="337" t="s">
        <v>798</v>
      </c>
      <c r="B420" s="337"/>
      <c r="C420" s="337"/>
      <c r="D420" s="337"/>
      <c r="E420" s="337"/>
      <c r="F420" s="337"/>
      <c r="G420" s="337"/>
      <c r="H420" s="337"/>
    </row>
    <row r="421" spans="1:8" x14ac:dyDescent="0.3">
      <c r="A421" s="337"/>
      <c r="B421" s="337"/>
      <c r="C421" s="337"/>
      <c r="D421" s="337"/>
      <c r="E421" s="337"/>
      <c r="F421" s="337"/>
      <c r="G421" s="337"/>
      <c r="H421" s="337"/>
    </row>
    <row r="422" spans="1:8" ht="16.2" thickBot="1" x14ac:dyDescent="0.35"/>
    <row r="423" spans="1:8" ht="18" thickBot="1" x14ac:dyDescent="0.35">
      <c r="A423" s="338" t="s">
        <v>47</v>
      </c>
      <c r="B423" s="339"/>
      <c r="C423" s="339"/>
      <c r="D423" s="339"/>
      <c r="E423" s="339"/>
      <c r="F423" s="339"/>
      <c r="G423" s="339"/>
      <c r="H423" s="340"/>
    </row>
    <row r="425" spans="1:8" x14ac:dyDescent="0.3">
      <c r="A425" s="24">
        <v>1</v>
      </c>
      <c r="B425" s="24">
        <v>1.5</v>
      </c>
      <c r="C425" s="24">
        <f>(B425-$B$56)^2</f>
        <v>0.89520710059171593</v>
      </c>
      <c r="D425" s="24">
        <v>14.9</v>
      </c>
      <c r="E425" s="24">
        <f>(D425-$D$56)^2</f>
        <v>9.5148520710059046</v>
      </c>
      <c r="F425" s="24">
        <f>B425-$B$56</f>
        <v>0.94615384615384612</v>
      </c>
      <c r="G425" s="24">
        <f>D425-$D$56</f>
        <v>3.0846153846153825</v>
      </c>
      <c r="H425" s="24">
        <f>F425*G425</f>
        <v>2.9185207100591697</v>
      </c>
    </row>
    <row r="426" spans="1:8" x14ac:dyDescent="0.3">
      <c r="A426" s="24">
        <v>2</v>
      </c>
      <c r="B426" s="24">
        <v>0.2</v>
      </c>
      <c r="C426" s="24">
        <f t="shared" ref="C426:C437" si="47">(B426-$B$56)^2</f>
        <v>0.125207100591716</v>
      </c>
      <c r="D426" s="24">
        <v>-9.1999999999999993</v>
      </c>
      <c r="E426" s="24">
        <f t="shared" ref="E426:E437" si="48">(D426-$D$56)^2</f>
        <v>441.6463905325445</v>
      </c>
      <c r="F426" s="24">
        <f t="shared" ref="F426:F437" si="49">B426-$B$56</f>
        <v>-0.35384615384615387</v>
      </c>
      <c r="G426" s="24">
        <f t="shared" ref="G426:G437" si="50">D426-$D$56</f>
        <v>-21.015384615384619</v>
      </c>
      <c r="H426" s="24">
        <f t="shared" ref="H426:H437" si="51">F426*G426</f>
        <v>7.4362130177514807</v>
      </c>
    </row>
    <row r="427" spans="1:8" ht="15.6" customHeight="1" x14ac:dyDescent="0.3">
      <c r="A427" s="24">
        <v>3</v>
      </c>
      <c r="B427" s="24">
        <v>-0.1</v>
      </c>
      <c r="C427" s="24">
        <f t="shared" si="47"/>
        <v>0.4275147928994083</v>
      </c>
      <c r="D427" s="24">
        <v>19.600000000000001</v>
      </c>
      <c r="E427" s="24">
        <f t="shared" si="48"/>
        <v>60.600236686390517</v>
      </c>
      <c r="F427" s="24">
        <f t="shared" si="49"/>
        <v>-0.65384615384615385</v>
      </c>
      <c r="G427" s="24">
        <f t="shared" si="50"/>
        <v>7.7846153846153836</v>
      </c>
      <c r="H427" s="24">
        <f t="shared" si="51"/>
        <v>-5.0899408284023666</v>
      </c>
    </row>
    <row r="428" spans="1:8" x14ac:dyDescent="0.3">
      <c r="A428" s="24">
        <v>4</v>
      </c>
      <c r="B428" s="24">
        <v>2.8</v>
      </c>
      <c r="C428" s="24">
        <f t="shared" si="47"/>
        <v>5.0452071005917158</v>
      </c>
      <c r="D428" s="24">
        <v>20.3</v>
      </c>
      <c r="E428" s="24">
        <f t="shared" si="48"/>
        <v>71.988698224852044</v>
      </c>
      <c r="F428" s="24">
        <f t="shared" si="49"/>
        <v>2.2461538461538462</v>
      </c>
      <c r="G428" s="24">
        <f t="shared" si="50"/>
        <v>8.4846153846153829</v>
      </c>
      <c r="H428" s="24">
        <f t="shared" si="51"/>
        <v>19.057751479289937</v>
      </c>
    </row>
    <row r="429" spans="1:8" x14ac:dyDescent="0.3">
      <c r="A429" s="24">
        <v>5</v>
      </c>
      <c r="B429" s="24">
        <v>2.2000000000000002</v>
      </c>
      <c r="C429" s="24">
        <f t="shared" si="47"/>
        <v>2.7098224852071011</v>
      </c>
      <c r="D429" s="24">
        <v>-3.7</v>
      </c>
      <c r="E429" s="24">
        <f t="shared" si="48"/>
        <v>240.72715976331372</v>
      </c>
      <c r="F429" s="24">
        <f t="shared" si="49"/>
        <v>1.6461538461538463</v>
      </c>
      <c r="G429" s="24">
        <f t="shared" si="50"/>
        <v>-15.515384615384619</v>
      </c>
      <c r="H429" s="24">
        <f t="shared" si="51"/>
        <v>-25.540710059171605</v>
      </c>
    </row>
    <row r="430" spans="1:8" ht="15.6" customHeight="1" x14ac:dyDescent="0.3">
      <c r="A430" s="24">
        <v>6</v>
      </c>
      <c r="B430" s="24">
        <v>-1.6</v>
      </c>
      <c r="C430" s="24">
        <f t="shared" si="47"/>
        <v>4.6390532544378713</v>
      </c>
      <c r="D430" s="24">
        <v>27.7</v>
      </c>
      <c r="E430" s="24">
        <f t="shared" si="48"/>
        <v>252.32100591715965</v>
      </c>
      <c r="F430" s="24">
        <f t="shared" si="49"/>
        <v>-2.1538461538461542</v>
      </c>
      <c r="G430" s="24">
        <f t="shared" si="50"/>
        <v>15.884615384615381</v>
      </c>
      <c r="H430" s="24">
        <f t="shared" si="51"/>
        <v>-34.213017751479292</v>
      </c>
    </row>
    <row r="431" spans="1:8" x14ac:dyDescent="0.3">
      <c r="A431" s="24">
        <v>7</v>
      </c>
      <c r="B431" s="24">
        <v>-1.3</v>
      </c>
      <c r="C431" s="24">
        <f t="shared" si="47"/>
        <v>3.4367455621301777</v>
      </c>
      <c r="D431" s="24">
        <v>22.6</v>
      </c>
      <c r="E431" s="24">
        <f t="shared" si="48"/>
        <v>116.30792899408281</v>
      </c>
      <c r="F431" s="24">
        <f t="shared" si="49"/>
        <v>-1.8538461538461539</v>
      </c>
      <c r="G431" s="24">
        <f t="shared" si="50"/>
        <v>10.784615384615384</v>
      </c>
      <c r="H431" s="24">
        <f t="shared" si="51"/>
        <v>-19.99301775147929</v>
      </c>
    </row>
    <row r="432" spans="1:8" x14ac:dyDescent="0.3">
      <c r="A432" s="24">
        <v>8</v>
      </c>
      <c r="B432" s="24">
        <v>5.6</v>
      </c>
      <c r="C432" s="24">
        <f t="shared" si="47"/>
        <v>25.463668639053253</v>
      </c>
      <c r="D432" s="24">
        <v>2.2999999999999998</v>
      </c>
      <c r="E432" s="24">
        <f t="shared" si="48"/>
        <v>90.542544378698295</v>
      </c>
      <c r="F432" s="24">
        <f t="shared" si="49"/>
        <v>5.046153846153846</v>
      </c>
      <c r="G432" s="24">
        <f t="shared" si="50"/>
        <v>-9.5153846153846189</v>
      </c>
      <c r="H432" s="24">
        <f t="shared" si="51"/>
        <v>-48.016094674556228</v>
      </c>
    </row>
    <row r="433" spans="1:8" x14ac:dyDescent="0.3">
      <c r="A433" s="24">
        <v>9</v>
      </c>
      <c r="B433" s="24">
        <v>-1.4</v>
      </c>
      <c r="C433" s="24">
        <f t="shared" si="47"/>
        <v>3.817514792899408</v>
      </c>
      <c r="D433" s="24">
        <v>11.9</v>
      </c>
      <c r="E433" s="24">
        <f t="shared" si="48"/>
        <v>7.1597633136091157E-3</v>
      </c>
      <c r="F433" s="24">
        <f t="shared" si="49"/>
        <v>-1.9538461538461538</v>
      </c>
      <c r="G433" s="24">
        <f t="shared" si="50"/>
        <v>8.4615384615382538E-2</v>
      </c>
      <c r="H433" s="24">
        <f t="shared" si="51"/>
        <v>-0.16532544378697819</v>
      </c>
    </row>
    <row r="434" spans="1:8" x14ac:dyDescent="0.3">
      <c r="A434" s="24">
        <v>10</v>
      </c>
      <c r="B434" s="24">
        <v>1.4</v>
      </c>
      <c r="C434" s="24">
        <f t="shared" si="47"/>
        <v>0.71597633136094652</v>
      </c>
      <c r="D434" s="24">
        <v>27</v>
      </c>
      <c r="E434" s="24">
        <f t="shared" si="48"/>
        <v>230.57254437869815</v>
      </c>
      <c r="F434" s="24">
        <f t="shared" si="49"/>
        <v>0.84615384615384603</v>
      </c>
      <c r="G434" s="24">
        <f t="shared" si="50"/>
        <v>15.184615384615382</v>
      </c>
      <c r="H434" s="24">
        <f t="shared" si="51"/>
        <v>12.848520710059168</v>
      </c>
    </row>
    <row r="435" spans="1:8" x14ac:dyDescent="0.3">
      <c r="A435" s="24">
        <v>11</v>
      </c>
      <c r="B435" s="24">
        <v>1.5</v>
      </c>
      <c r="C435" s="24">
        <f t="shared" si="47"/>
        <v>0.89520710059171593</v>
      </c>
      <c r="D435" s="24">
        <v>-4.3</v>
      </c>
      <c r="E435" s="24">
        <f t="shared" si="48"/>
        <v>259.70562130177518</v>
      </c>
      <c r="F435" s="24">
        <f t="shared" si="49"/>
        <v>0.94615384615384612</v>
      </c>
      <c r="G435" s="24">
        <f t="shared" si="50"/>
        <v>-16.115384615384617</v>
      </c>
      <c r="H435" s="24">
        <f t="shared" si="51"/>
        <v>-15.247633136094676</v>
      </c>
    </row>
    <row r="436" spans="1:8" x14ac:dyDescent="0.3">
      <c r="A436" s="24">
        <v>12</v>
      </c>
      <c r="B436" s="24">
        <v>-4.7</v>
      </c>
      <c r="C436" s="24">
        <f t="shared" si="47"/>
        <v>27.602899408284024</v>
      </c>
      <c r="D436" s="24">
        <v>20.3</v>
      </c>
      <c r="E436" s="24">
        <f t="shared" si="48"/>
        <v>71.988698224852044</v>
      </c>
      <c r="F436" s="24">
        <f t="shared" si="49"/>
        <v>-5.2538461538461538</v>
      </c>
      <c r="G436" s="24">
        <f t="shared" si="50"/>
        <v>8.4846153846153829</v>
      </c>
      <c r="H436" s="24">
        <f t="shared" si="51"/>
        <v>-44.576863905325432</v>
      </c>
    </row>
    <row r="437" spans="1:8" x14ac:dyDescent="0.3">
      <c r="A437" s="24">
        <v>13</v>
      </c>
      <c r="B437" s="24">
        <v>1.1000000000000001</v>
      </c>
      <c r="C437" s="24">
        <f t="shared" si="47"/>
        <v>0.2982840236686391</v>
      </c>
      <c r="D437" s="24">
        <v>4.2</v>
      </c>
      <c r="E437" s="24">
        <f t="shared" si="48"/>
        <v>57.994082840236722</v>
      </c>
      <c r="F437" s="24">
        <f t="shared" si="49"/>
        <v>0.54615384615384621</v>
      </c>
      <c r="G437" s="24">
        <f t="shared" si="50"/>
        <v>-7.6153846153846176</v>
      </c>
      <c r="H437" s="24">
        <f t="shared" si="51"/>
        <v>-4.1591715976331374</v>
      </c>
    </row>
    <row r="438" spans="1:8" x14ac:dyDescent="0.3">
      <c r="A438" s="24" t="s">
        <v>98</v>
      </c>
      <c r="B438" s="24">
        <f>SUM(B425:B437)</f>
        <v>7.2000000000000011</v>
      </c>
      <c r="C438" s="24">
        <f t="shared" ref="C438:E438" si="52">SUM(C425:C437)</f>
        <v>76.072307692307703</v>
      </c>
      <c r="D438" s="24">
        <f t="shared" si="52"/>
        <v>153.60000000000002</v>
      </c>
      <c r="E438" s="24">
        <f t="shared" si="52"/>
        <v>1903.9169230769232</v>
      </c>
      <c r="F438" s="154"/>
      <c r="G438" s="154"/>
      <c r="H438" s="31">
        <f t="shared" ref="H438" si="53">SUM(H425:H437)</f>
        <v>-154.74076923076925</v>
      </c>
    </row>
    <row r="439" spans="1:8" x14ac:dyDescent="0.3">
      <c r="A439" s="173" t="s">
        <v>3</v>
      </c>
      <c r="B439" s="24">
        <f>B438/13</f>
        <v>0.55384615384615388</v>
      </c>
      <c r="D439" s="24">
        <f t="shared" ref="D439" si="54">D438/13</f>
        <v>11.815384615384618</v>
      </c>
    </row>
    <row r="440" spans="1:8" x14ac:dyDescent="0.3">
      <c r="A440" s="24" t="s">
        <v>134</v>
      </c>
      <c r="B440" s="24">
        <f>VAR(B425:B437)</f>
        <v>6.3393589743589729</v>
      </c>
      <c r="C440" s="24">
        <f>SUM(C425:C437)/12</f>
        <v>6.3393589743589756</v>
      </c>
      <c r="D440" s="24">
        <f>VAR(D425:D437)</f>
        <v>158.65974358974356</v>
      </c>
      <c r="E440" s="24">
        <f t="shared" ref="E440" si="55">SUM(E425:E437)/12</f>
        <v>158.65974358974361</v>
      </c>
    </row>
    <row r="441" spans="1:8" ht="31.2" x14ac:dyDescent="0.3">
      <c r="A441" s="24" t="s">
        <v>4</v>
      </c>
      <c r="B441" s="24">
        <f>STDEV(B425:B437)</f>
        <v>2.5178083672827394</v>
      </c>
      <c r="C441" s="24">
        <f>SQRT(C440)</f>
        <v>2.5178083672827398</v>
      </c>
      <c r="D441" s="24">
        <f>STDEV(D425:D437)</f>
        <v>12.596020942732016</v>
      </c>
      <c r="E441" s="24">
        <f t="shared" ref="E441" si="56">SQRT(E440)</f>
        <v>12.596020942732018</v>
      </c>
    </row>
    <row r="443" spans="1:8" x14ac:dyDescent="0.3">
      <c r="A443"/>
    </row>
    <row r="444" spans="1:8" x14ac:dyDescent="0.3">
      <c r="D444" s="24" t="s">
        <v>316</v>
      </c>
      <c r="E444" s="24">
        <f>H438/C438</f>
        <v>-2.0341274495924928</v>
      </c>
    </row>
    <row r="447" spans="1:8" x14ac:dyDescent="0.3">
      <c r="B447" s="24" t="s">
        <v>316</v>
      </c>
      <c r="C447" s="24">
        <f>D439-E444*B439</f>
        <v>12.941978279774306</v>
      </c>
    </row>
    <row r="449" spans="1:8" x14ac:dyDescent="0.3">
      <c r="C449" s="260" t="s">
        <v>53</v>
      </c>
      <c r="D449" s="260"/>
      <c r="E449" s="260"/>
    </row>
    <row r="450" spans="1:8" ht="18" customHeight="1" x14ac:dyDescent="0.3">
      <c r="A450"/>
      <c r="B450" s="24" t="s">
        <v>316</v>
      </c>
      <c r="C450" s="256" t="s">
        <v>766</v>
      </c>
      <c r="D450" s="256"/>
      <c r="E450" s="256"/>
      <c r="F450" s="151"/>
    </row>
    <row r="452" spans="1:8" x14ac:dyDescent="0.3">
      <c r="A452" s="260" t="s">
        <v>54</v>
      </c>
      <c r="B452" s="260"/>
      <c r="C452" s="260"/>
      <c r="D452" s="260"/>
      <c r="E452" s="260"/>
      <c r="F452" s="260"/>
      <c r="G452" s="260"/>
      <c r="H452" s="260"/>
    </row>
    <row r="453" spans="1:8" ht="15.6" customHeight="1" x14ac:dyDescent="0.3">
      <c r="A453" s="337" t="s">
        <v>767</v>
      </c>
      <c r="B453" s="337"/>
      <c r="C453" s="337"/>
      <c r="D453" s="337"/>
      <c r="E453" s="337"/>
      <c r="F453" s="337"/>
      <c r="G453" s="337"/>
      <c r="H453" s="337"/>
    </row>
    <row r="454" spans="1:8" x14ac:dyDescent="0.3">
      <c r="A454" s="337"/>
      <c r="B454" s="337"/>
      <c r="C454" s="337"/>
      <c r="D454" s="337"/>
      <c r="E454" s="337"/>
      <c r="F454" s="337"/>
      <c r="G454" s="337"/>
      <c r="H454" s="337"/>
    </row>
    <row r="486" spans="1:8" ht="16.2" thickBot="1" x14ac:dyDescent="0.35"/>
    <row r="487" spans="1:8" ht="18" thickBot="1" x14ac:dyDescent="0.35">
      <c r="A487" s="338" t="s">
        <v>49</v>
      </c>
      <c r="B487" s="339"/>
      <c r="C487" s="339"/>
      <c r="D487" s="339"/>
      <c r="E487" s="339"/>
      <c r="F487" s="339"/>
      <c r="G487" s="339"/>
      <c r="H487" s="340"/>
    </row>
    <row r="488" spans="1:8" x14ac:dyDescent="0.3">
      <c r="A488" s="25"/>
      <c r="B488" s="83"/>
      <c r="C488" s="25"/>
      <c r="E488" s="25"/>
      <c r="F488" s="25"/>
      <c r="G488" s="25"/>
      <c r="H488" s="25"/>
    </row>
    <row r="489" spans="1:8" x14ac:dyDescent="0.3">
      <c r="A489" s="24">
        <v>1</v>
      </c>
      <c r="B489" s="24">
        <v>-0.2</v>
      </c>
      <c r="C489" s="24">
        <f>(B489-$B$501)^2</f>
        <v>0.15999999999999992</v>
      </c>
      <c r="D489" s="24">
        <v>0.2</v>
      </c>
      <c r="E489" s="24">
        <f>(D489-$D$501)^2</f>
        <v>4.0000000000000008E-2</v>
      </c>
      <c r="F489" s="24">
        <f>B489-$B$501</f>
        <v>-0.39999999999999991</v>
      </c>
      <c r="G489" s="24">
        <f>D489-$D$501</f>
        <v>0.2</v>
      </c>
      <c r="H489" s="24">
        <f>F489*G489</f>
        <v>-7.9999999999999988E-2</v>
      </c>
    </row>
    <row r="490" spans="1:8" x14ac:dyDescent="0.3">
      <c r="A490" s="24">
        <v>2</v>
      </c>
      <c r="B490" s="24">
        <v>-0.1</v>
      </c>
      <c r="C490" s="24">
        <f t="shared" ref="C490:C499" si="57">(B490-$B$501)^2</f>
        <v>8.9999999999999955E-2</v>
      </c>
      <c r="D490" s="24">
        <v>0.2</v>
      </c>
      <c r="E490" s="24">
        <f t="shared" ref="E490:E499" si="58">(D490-$D$501)^2</f>
        <v>4.0000000000000008E-2</v>
      </c>
      <c r="F490" s="24">
        <f t="shared" ref="F490:F499" si="59">B490-$B$501</f>
        <v>-0.29999999999999993</v>
      </c>
      <c r="G490" s="24">
        <f t="shared" ref="G490:G499" si="60">D490-$D$501</f>
        <v>0.2</v>
      </c>
      <c r="H490" s="24">
        <f t="shared" ref="H490:H499" si="61">F490*G490</f>
        <v>-5.9999999999999991E-2</v>
      </c>
    </row>
    <row r="491" spans="1:8" x14ac:dyDescent="0.3">
      <c r="A491" s="24">
        <v>3</v>
      </c>
      <c r="B491" s="24">
        <v>1.4</v>
      </c>
      <c r="C491" s="24">
        <f t="shared" si="57"/>
        <v>1.44</v>
      </c>
      <c r="D491" s="24">
        <v>0.2</v>
      </c>
      <c r="E491" s="24">
        <f t="shared" si="58"/>
        <v>4.0000000000000008E-2</v>
      </c>
      <c r="F491" s="24">
        <f t="shared" si="59"/>
        <v>1.2</v>
      </c>
      <c r="G491" s="24">
        <f t="shared" si="60"/>
        <v>0.2</v>
      </c>
      <c r="H491" s="24">
        <f t="shared" si="61"/>
        <v>0.24</v>
      </c>
    </row>
    <row r="492" spans="1:8" x14ac:dyDescent="0.3">
      <c r="A492" s="24">
        <v>4</v>
      </c>
      <c r="B492" s="24">
        <v>1</v>
      </c>
      <c r="C492" s="24">
        <f t="shared" si="57"/>
        <v>0.64000000000000012</v>
      </c>
      <c r="D492" s="24">
        <v>-0.4</v>
      </c>
      <c r="E492" s="24">
        <f t="shared" si="58"/>
        <v>0.16000000000000003</v>
      </c>
      <c r="F492" s="24">
        <f t="shared" si="59"/>
        <v>0.8</v>
      </c>
      <c r="G492" s="24">
        <f t="shared" si="60"/>
        <v>-0.4</v>
      </c>
      <c r="H492" s="24">
        <f t="shared" si="61"/>
        <v>-0.32000000000000006</v>
      </c>
    </row>
    <row r="493" spans="1:8" x14ac:dyDescent="0.3">
      <c r="A493" s="24">
        <v>5</v>
      </c>
      <c r="B493" s="24">
        <v>-0.3</v>
      </c>
      <c r="C493" s="24">
        <f t="shared" si="57"/>
        <v>0.24999999999999989</v>
      </c>
      <c r="D493" s="24">
        <v>-0.1</v>
      </c>
      <c r="E493" s="24">
        <f t="shared" si="58"/>
        <v>1.0000000000000002E-2</v>
      </c>
      <c r="F493" s="24">
        <f t="shared" si="59"/>
        <v>-0.49999999999999989</v>
      </c>
      <c r="G493" s="24">
        <f t="shared" si="60"/>
        <v>-0.1</v>
      </c>
      <c r="H493" s="24">
        <f t="shared" si="61"/>
        <v>4.9999999999999989E-2</v>
      </c>
    </row>
    <row r="494" spans="1:8" x14ac:dyDescent="0.3">
      <c r="A494" s="24">
        <v>6</v>
      </c>
      <c r="B494" s="24">
        <v>-0.7</v>
      </c>
      <c r="C494" s="24">
        <f t="shared" si="57"/>
        <v>0.80999999999999983</v>
      </c>
      <c r="D494" s="24">
        <v>0.2</v>
      </c>
      <c r="E494" s="24">
        <f t="shared" si="58"/>
        <v>4.0000000000000008E-2</v>
      </c>
      <c r="F494" s="24">
        <f t="shared" si="59"/>
        <v>-0.89999999999999991</v>
      </c>
      <c r="G494" s="24">
        <f t="shared" si="60"/>
        <v>0.2</v>
      </c>
      <c r="H494" s="24">
        <f t="shared" si="61"/>
        <v>-0.18</v>
      </c>
    </row>
    <row r="495" spans="1:8" x14ac:dyDescent="0.3">
      <c r="A495" s="24">
        <v>7</v>
      </c>
      <c r="B495" s="24">
        <v>0.7</v>
      </c>
      <c r="C495" s="24">
        <f t="shared" si="57"/>
        <v>0.25</v>
      </c>
      <c r="D495" s="24">
        <v>-0.1</v>
      </c>
      <c r="E495" s="24">
        <f t="shared" si="58"/>
        <v>1.0000000000000002E-2</v>
      </c>
      <c r="F495" s="24">
        <f t="shared" si="59"/>
        <v>0.5</v>
      </c>
      <c r="G495" s="24">
        <f t="shared" si="60"/>
        <v>-0.1</v>
      </c>
      <c r="H495" s="24">
        <f t="shared" si="61"/>
        <v>-0.05</v>
      </c>
    </row>
    <row r="496" spans="1:8" x14ac:dyDescent="0.3">
      <c r="A496" s="24">
        <v>8</v>
      </c>
      <c r="B496" s="24">
        <v>2.9</v>
      </c>
      <c r="C496" s="24">
        <f t="shared" si="57"/>
        <v>7.2900000000000009</v>
      </c>
      <c r="D496" s="24">
        <v>-0.8</v>
      </c>
      <c r="E496" s="24">
        <f t="shared" si="58"/>
        <v>0.64000000000000012</v>
      </c>
      <c r="F496" s="24">
        <f t="shared" si="59"/>
        <v>2.7</v>
      </c>
      <c r="G496" s="24">
        <f t="shared" si="60"/>
        <v>-0.8</v>
      </c>
      <c r="H496" s="24">
        <f t="shared" si="61"/>
        <v>-2.16</v>
      </c>
    </row>
    <row r="497" spans="1:8" x14ac:dyDescent="0.3">
      <c r="A497" s="24">
        <v>9</v>
      </c>
      <c r="B497" s="24">
        <v>-0.8</v>
      </c>
      <c r="C497" s="24">
        <f t="shared" si="57"/>
        <v>1</v>
      </c>
      <c r="D497" s="24">
        <v>0.2</v>
      </c>
      <c r="E497" s="24">
        <f t="shared" si="58"/>
        <v>4.0000000000000008E-2</v>
      </c>
      <c r="F497" s="24">
        <f t="shared" si="59"/>
        <v>-1</v>
      </c>
      <c r="G497" s="24">
        <f t="shared" si="60"/>
        <v>0.2</v>
      </c>
      <c r="H497" s="24">
        <f t="shared" si="61"/>
        <v>-0.2</v>
      </c>
    </row>
    <row r="498" spans="1:8" x14ac:dyDescent="0.3">
      <c r="A498" s="24">
        <v>10</v>
      </c>
      <c r="B498" s="24">
        <v>-0.7</v>
      </c>
      <c r="C498" s="24">
        <f t="shared" si="57"/>
        <v>0.80999999999999983</v>
      </c>
      <c r="D498" s="24">
        <v>0.2</v>
      </c>
      <c r="E498" s="24">
        <f t="shared" si="58"/>
        <v>4.0000000000000008E-2</v>
      </c>
      <c r="F498" s="24">
        <f t="shared" si="59"/>
        <v>-0.89999999999999991</v>
      </c>
      <c r="G498" s="24">
        <f t="shared" si="60"/>
        <v>0.2</v>
      </c>
      <c r="H498" s="24">
        <f t="shared" si="61"/>
        <v>-0.18</v>
      </c>
    </row>
    <row r="499" spans="1:8" x14ac:dyDescent="0.3">
      <c r="A499" s="24">
        <v>11</v>
      </c>
      <c r="B499" s="24">
        <v>-1</v>
      </c>
      <c r="C499" s="24">
        <f t="shared" si="57"/>
        <v>1.44</v>
      </c>
      <c r="D499" s="24">
        <v>0.2</v>
      </c>
      <c r="E499" s="24">
        <f t="shared" si="58"/>
        <v>4.0000000000000008E-2</v>
      </c>
      <c r="F499" s="24">
        <f t="shared" si="59"/>
        <v>-1.2</v>
      </c>
      <c r="G499" s="24">
        <f t="shared" si="60"/>
        <v>0.2</v>
      </c>
      <c r="H499" s="24">
        <f t="shared" si="61"/>
        <v>-0.24</v>
      </c>
    </row>
    <row r="500" spans="1:8" x14ac:dyDescent="0.3">
      <c r="A500" s="24" t="s">
        <v>98</v>
      </c>
      <c r="B500" s="24">
        <f>SUM(B489:B499)</f>
        <v>2.1999999999999993</v>
      </c>
      <c r="C500" s="24">
        <f>SUM(C489:C499)</f>
        <v>14.18</v>
      </c>
      <c r="D500" s="24">
        <f>SUM(D489:D499)</f>
        <v>0</v>
      </c>
      <c r="E500" s="24">
        <f>SUM(E489:E499)</f>
        <v>1.1000000000000003</v>
      </c>
      <c r="F500" s="154"/>
      <c r="G500" s="154"/>
      <c r="H500" s="31">
        <f>SUM(H489:H499)</f>
        <v>-3.1800000000000006</v>
      </c>
    </row>
    <row r="501" spans="1:8" x14ac:dyDescent="0.3">
      <c r="A501" s="173" t="s">
        <v>3</v>
      </c>
      <c r="B501" s="24">
        <f>B500/11</f>
        <v>0.19999999999999993</v>
      </c>
      <c r="D501" s="24">
        <f>D500/11</f>
        <v>0</v>
      </c>
    </row>
    <row r="502" spans="1:8" x14ac:dyDescent="0.3">
      <c r="A502" s="24" t="s">
        <v>134</v>
      </c>
      <c r="B502" s="24">
        <f>VAR(B489:B499)</f>
        <v>1.4179999999999999</v>
      </c>
      <c r="C502" s="24">
        <f>SUM(C489:C499)/10</f>
        <v>1.4179999999999999</v>
      </c>
      <c r="D502" s="24">
        <f>VAR(D489:D499)</f>
        <v>0.11000000000000003</v>
      </c>
      <c r="E502" s="24">
        <f>SUM(E489:E499)/10</f>
        <v>0.11000000000000003</v>
      </c>
    </row>
    <row r="503" spans="1:8" ht="31.2" x14ac:dyDescent="0.3">
      <c r="A503" s="24" t="s">
        <v>4</v>
      </c>
      <c r="B503" s="24">
        <f>STDEV(B489:B499)</f>
        <v>1.1907980517283356</v>
      </c>
      <c r="C503" s="24">
        <f>SQRT(C502)</f>
        <v>1.1907980517283356</v>
      </c>
      <c r="D503" s="24">
        <f>STDEV(D489:D499)</f>
        <v>0.33166247903554003</v>
      </c>
      <c r="E503" s="24">
        <f t="shared" ref="E503" si="62">SQRT(E502)</f>
        <v>0.33166247903554003</v>
      </c>
    </row>
    <row r="505" spans="1:8" x14ac:dyDescent="0.3">
      <c r="A505"/>
    </row>
    <row r="506" spans="1:8" x14ac:dyDescent="0.3">
      <c r="D506" s="24" t="s">
        <v>316</v>
      </c>
      <c r="E506" s="24">
        <f>H500/C500</f>
        <v>-0.22425952045133996</v>
      </c>
    </row>
    <row r="509" spans="1:8" x14ac:dyDescent="0.3">
      <c r="B509" s="24" t="s">
        <v>316</v>
      </c>
      <c r="C509" s="24">
        <f>D501-E506*B501</f>
        <v>4.4851904090267972E-2</v>
      </c>
    </row>
    <row r="511" spans="1:8" x14ac:dyDescent="0.3">
      <c r="C511" s="260" t="s">
        <v>53</v>
      </c>
      <c r="D511" s="260"/>
      <c r="E511" s="260"/>
    </row>
    <row r="512" spans="1:8" x14ac:dyDescent="0.3">
      <c r="A512"/>
      <c r="B512" s="24" t="s">
        <v>316</v>
      </c>
      <c r="C512" s="256" t="s">
        <v>768</v>
      </c>
      <c r="D512" s="256"/>
      <c r="E512" s="256"/>
      <c r="F512" s="151"/>
    </row>
    <row r="514" spans="1:8" x14ac:dyDescent="0.3">
      <c r="A514" s="260" t="s">
        <v>54</v>
      </c>
      <c r="B514" s="260"/>
      <c r="C514" s="260"/>
      <c r="D514" s="260"/>
      <c r="E514" s="260"/>
      <c r="F514" s="260"/>
      <c r="G514" s="260"/>
      <c r="H514" s="260"/>
    </row>
    <row r="515" spans="1:8" ht="15.6" customHeight="1" x14ac:dyDescent="0.3">
      <c r="A515" s="337" t="s">
        <v>769</v>
      </c>
      <c r="B515" s="337"/>
      <c r="C515" s="337"/>
      <c r="D515" s="337"/>
      <c r="E515" s="337"/>
      <c r="F515" s="337"/>
      <c r="G515" s="337"/>
      <c r="H515" s="337"/>
    </row>
    <row r="516" spans="1:8" x14ac:dyDescent="0.3">
      <c r="A516" s="337"/>
      <c r="B516" s="337"/>
      <c r="C516" s="337"/>
      <c r="D516" s="337"/>
      <c r="E516" s="337"/>
      <c r="F516" s="337"/>
      <c r="G516" s="337"/>
      <c r="H516" s="337"/>
    </row>
    <row r="517" spans="1:8" x14ac:dyDescent="0.3">
      <c r="A517" s="337"/>
      <c r="B517" s="337"/>
      <c r="C517" s="337"/>
      <c r="D517" s="337"/>
      <c r="E517" s="337"/>
      <c r="F517" s="337"/>
      <c r="G517" s="337"/>
      <c r="H517" s="337"/>
    </row>
    <row r="557" spans="1:8" ht="16.2" thickBot="1" x14ac:dyDescent="0.35"/>
    <row r="558" spans="1:8" ht="18" thickBot="1" x14ac:dyDescent="0.35">
      <c r="A558" s="338" t="s">
        <v>61</v>
      </c>
      <c r="B558" s="339"/>
      <c r="C558" s="339"/>
      <c r="D558" s="339"/>
      <c r="E558" s="339"/>
      <c r="F558" s="339"/>
      <c r="G558" s="339"/>
      <c r="H558" s="340"/>
    </row>
    <row r="559" spans="1:8" x14ac:dyDescent="0.3">
      <c r="A559" s="25"/>
      <c r="B559" s="83"/>
      <c r="C559" s="25"/>
      <c r="E559" s="25"/>
      <c r="F559" s="25"/>
      <c r="G559" s="25"/>
      <c r="H559" s="25"/>
    </row>
    <row r="560" spans="1:8" x14ac:dyDescent="0.3">
      <c r="A560" s="24">
        <v>1</v>
      </c>
      <c r="B560" s="24">
        <v>55</v>
      </c>
      <c r="C560" s="24">
        <f>(B560-$B$569)^2</f>
        <v>244.140625</v>
      </c>
      <c r="D560" s="24">
        <v>10</v>
      </c>
      <c r="E560" s="24">
        <f>(D560-$D$569)^2</f>
        <v>47.265625</v>
      </c>
      <c r="F560" s="24">
        <f>B560-$B$569</f>
        <v>-15.625</v>
      </c>
      <c r="G560" s="24">
        <f>D560-$D$569</f>
        <v>-6.875</v>
      </c>
      <c r="H560" s="24">
        <f>F560*G560</f>
        <v>107.421875</v>
      </c>
    </row>
    <row r="561" spans="1:8" x14ac:dyDescent="0.3">
      <c r="A561" s="24">
        <v>2</v>
      </c>
      <c r="B561" s="24">
        <v>60</v>
      </c>
      <c r="C561" s="24">
        <f t="shared" ref="C561:C567" si="63">(B561-$B$569)^2</f>
        <v>112.890625</v>
      </c>
      <c r="D561" s="24">
        <v>12</v>
      </c>
      <c r="E561" s="24">
        <f t="shared" ref="E561:E567" si="64">(D561-$D$569)^2</f>
        <v>23.765625</v>
      </c>
      <c r="F561" s="24">
        <f t="shared" ref="F561:F567" si="65">B561-$B$569</f>
        <v>-10.625</v>
      </c>
      <c r="G561" s="24">
        <f t="shared" ref="G561:G567" si="66">D561-$D$569</f>
        <v>-4.875</v>
      </c>
      <c r="H561" s="24">
        <f t="shared" ref="H561:H567" si="67">F561*G561</f>
        <v>51.796875</v>
      </c>
    </row>
    <row r="562" spans="1:8" x14ac:dyDescent="0.3">
      <c r="A562" s="24">
        <v>3</v>
      </c>
      <c r="B562" s="24">
        <v>85</v>
      </c>
      <c r="C562" s="24">
        <f t="shared" si="63"/>
        <v>206.640625</v>
      </c>
      <c r="D562" s="24">
        <v>28</v>
      </c>
      <c r="E562" s="24">
        <f t="shared" si="64"/>
        <v>123.765625</v>
      </c>
      <c r="F562" s="24">
        <f t="shared" si="65"/>
        <v>14.375</v>
      </c>
      <c r="G562" s="24">
        <f t="shared" si="66"/>
        <v>11.125</v>
      </c>
      <c r="H562" s="24">
        <f t="shared" si="67"/>
        <v>159.921875</v>
      </c>
    </row>
    <row r="563" spans="1:8" x14ac:dyDescent="0.3">
      <c r="A563" s="24">
        <v>4</v>
      </c>
      <c r="B563" s="24">
        <v>75</v>
      </c>
      <c r="C563" s="24">
        <f t="shared" si="63"/>
        <v>19.140625</v>
      </c>
      <c r="D563" s="24">
        <v>24</v>
      </c>
      <c r="E563" s="24">
        <f t="shared" si="64"/>
        <v>50.765625</v>
      </c>
      <c r="F563" s="24">
        <f t="shared" si="65"/>
        <v>4.375</v>
      </c>
      <c r="G563" s="24">
        <f t="shared" si="66"/>
        <v>7.125</v>
      </c>
      <c r="H563" s="24">
        <f t="shared" si="67"/>
        <v>31.171875</v>
      </c>
    </row>
    <row r="564" spans="1:8" x14ac:dyDescent="0.3">
      <c r="A564" s="24">
        <v>5</v>
      </c>
      <c r="B564" s="24">
        <v>80</v>
      </c>
      <c r="C564" s="24">
        <f t="shared" si="63"/>
        <v>87.890625</v>
      </c>
      <c r="D564" s="24">
        <v>18</v>
      </c>
      <c r="E564" s="24">
        <f t="shared" si="64"/>
        <v>1.265625</v>
      </c>
      <c r="F564" s="24">
        <f t="shared" si="65"/>
        <v>9.375</v>
      </c>
      <c r="G564" s="24">
        <f t="shared" si="66"/>
        <v>1.125</v>
      </c>
      <c r="H564" s="24">
        <f t="shared" si="67"/>
        <v>10.546875</v>
      </c>
    </row>
    <row r="565" spans="1:8" x14ac:dyDescent="0.3">
      <c r="A565" s="24">
        <v>6</v>
      </c>
      <c r="B565" s="24">
        <v>85</v>
      </c>
      <c r="C565" s="24">
        <f t="shared" si="63"/>
        <v>206.640625</v>
      </c>
      <c r="D565" s="24">
        <v>16</v>
      </c>
      <c r="E565" s="24">
        <f t="shared" si="64"/>
        <v>0.765625</v>
      </c>
      <c r="F565" s="24">
        <f t="shared" si="65"/>
        <v>14.375</v>
      </c>
      <c r="G565" s="24">
        <f t="shared" si="66"/>
        <v>-0.875</v>
      </c>
      <c r="H565" s="24">
        <f t="shared" si="67"/>
        <v>-12.578125</v>
      </c>
    </row>
    <row r="566" spans="1:8" x14ac:dyDescent="0.3">
      <c r="A566" s="24">
        <v>7</v>
      </c>
      <c r="B566" s="24">
        <v>65</v>
      </c>
      <c r="C566" s="24">
        <f t="shared" si="63"/>
        <v>31.640625</v>
      </c>
      <c r="D566" s="24">
        <v>15</v>
      </c>
      <c r="E566" s="24">
        <f t="shared" si="64"/>
        <v>3.515625</v>
      </c>
      <c r="F566" s="24">
        <f t="shared" si="65"/>
        <v>-5.625</v>
      </c>
      <c r="G566" s="24">
        <f t="shared" si="66"/>
        <v>-1.875</v>
      </c>
      <c r="H566" s="24">
        <f t="shared" si="67"/>
        <v>10.546875</v>
      </c>
    </row>
    <row r="567" spans="1:8" x14ac:dyDescent="0.3">
      <c r="A567" s="24">
        <v>8</v>
      </c>
      <c r="B567" s="24">
        <v>60</v>
      </c>
      <c r="C567" s="24">
        <f t="shared" si="63"/>
        <v>112.890625</v>
      </c>
      <c r="D567" s="24">
        <v>12</v>
      </c>
      <c r="E567" s="24">
        <f t="shared" si="64"/>
        <v>23.765625</v>
      </c>
      <c r="F567" s="24">
        <f t="shared" si="65"/>
        <v>-10.625</v>
      </c>
      <c r="G567" s="24">
        <f t="shared" si="66"/>
        <v>-4.875</v>
      </c>
      <c r="H567" s="24">
        <f t="shared" si="67"/>
        <v>51.796875</v>
      </c>
    </row>
    <row r="568" spans="1:8" x14ac:dyDescent="0.3">
      <c r="A568" s="24" t="s">
        <v>98</v>
      </c>
      <c r="B568" s="24">
        <f>SUM(B560:B567)</f>
        <v>565</v>
      </c>
      <c r="C568" s="24">
        <f>SUM(C560:C567)</f>
        <v>1021.875</v>
      </c>
      <c r="D568" s="24">
        <f>SUM(D560:D567)</f>
        <v>135</v>
      </c>
      <c r="E568" s="24">
        <f>SUM(E560:E567)</f>
        <v>274.875</v>
      </c>
      <c r="F568" s="154"/>
      <c r="G568" s="154"/>
      <c r="H568" s="31">
        <f>SUM(H560:H567)</f>
        <v>410.625</v>
      </c>
    </row>
    <row r="569" spans="1:8" x14ac:dyDescent="0.3">
      <c r="A569" s="173" t="s">
        <v>3</v>
      </c>
      <c r="B569" s="24">
        <f>AVERAGE(B560:B567)</f>
        <v>70.625</v>
      </c>
      <c r="D569" s="24">
        <f>AVERAGE(D560:D567)</f>
        <v>16.875</v>
      </c>
    </row>
    <row r="570" spans="1:8" x14ac:dyDescent="0.3">
      <c r="A570" s="24" t="s">
        <v>134</v>
      </c>
      <c r="B570" s="24">
        <f>VAR(B560:B567)</f>
        <v>145.98214285714286</v>
      </c>
      <c r="C570" s="24">
        <f>SUM(C560:C567)/7</f>
        <v>145.98214285714286</v>
      </c>
      <c r="D570" s="24">
        <f>VAR(D560:D567)</f>
        <v>39.267857142857146</v>
      </c>
      <c r="E570" s="24">
        <f>SUM(E560:E567)/7</f>
        <v>39.267857142857146</v>
      </c>
    </row>
    <row r="571" spans="1:8" ht="31.2" x14ac:dyDescent="0.3">
      <c r="A571" s="24" t="s">
        <v>4</v>
      </c>
      <c r="B571" s="24">
        <f>STDEV(B560:B567)</f>
        <v>12.08230701716948</v>
      </c>
      <c r="C571" s="24">
        <f>SQRT(C570)</f>
        <v>12.08230701716948</v>
      </c>
      <c r="D571" s="24">
        <f>STDEV(D560:D567)</f>
        <v>6.2664070361617226</v>
      </c>
      <c r="E571" s="24">
        <f t="shared" ref="E571" si="68">SQRT(E570)</f>
        <v>6.2664070361617226</v>
      </c>
    </row>
    <row r="573" spans="1:8" x14ac:dyDescent="0.3">
      <c r="A573"/>
    </row>
    <row r="574" spans="1:8" x14ac:dyDescent="0.3">
      <c r="D574" s="24" t="s">
        <v>316</v>
      </c>
      <c r="E574" s="24">
        <f>H568/C568</f>
        <v>0.40183486238532112</v>
      </c>
    </row>
    <row r="577" spans="1:8" x14ac:dyDescent="0.3">
      <c r="B577" s="24" t="s">
        <v>316</v>
      </c>
      <c r="C577" s="24">
        <f>D569-E574*B569</f>
        <v>-11.504587155963304</v>
      </c>
    </row>
    <row r="579" spans="1:8" x14ac:dyDescent="0.3">
      <c r="C579" s="260" t="s">
        <v>53</v>
      </c>
      <c r="D579" s="260"/>
      <c r="E579" s="260"/>
    </row>
    <row r="580" spans="1:8" x14ac:dyDescent="0.3">
      <c r="A580"/>
      <c r="B580" s="24" t="s">
        <v>316</v>
      </c>
      <c r="C580" s="256" t="s">
        <v>770</v>
      </c>
      <c r="D580" s="256"/>
      <c r="E580" s="256"/>
      <c r="F580" s="151"/>
    </row>
    <row r="582" spans="1:8" x14ac:dyDescent="0.3">
      <c r="A582" s="260" t="s">
        <v>54</v>
      </c>
      <c r="B582" s="260"/>
      <c r="C582" s="260"/>
      <c r="D582" s="260"/>
      <c r="E582" s="260"/>
      <c r="F582" s="260"/>
      <c r="G582" s="260"/>
      <c r="H582" s="260"/>
    </row>
    <row r="583" spans="1:8" x14ac:dyDescent="0.3">
      <c r="A583" s="337" t="s">
        <v>771</v>
      </c>
      <c r="B583" s="337"/>
      <c r="C583" s="337"/>
      <c r="D583" s="337"/>
      <c r="E583" s="337"/>
      <c r="F583" s="337"/>
      <c r="G583" s="337"/>
      <c r="H583" s="337"/>
    </row>
    <row r="584" spans="1:8" x14ac:dyDescent="0.3">
      <c r="A584" s="337"/>
      <c r="B584" s="337"/>
      <c r="C584" s="337"/>
      <c r="D584" s="337"/>
      <c r="E584" s="337"/>
      <c r="F584" s="337"/>
      <c r="G584" s="337"/>
      <c r="H584" s="337"/>
    </row>
    <row r="585" spans="1:8" x14ac:dyDescent="0.3">
      <c r="A585" s="337"/>
      <c r="B585" s="337"/>
      <c r="C585" s="337"/>
      <c r="D585" s="337"/>
      <c r="E585" s="337"/>
      <c r="F585" s="337"/>
      <c r="G585" s="337"/>
      <c r="H585" s="337"/>
    </row>
    <row r="760" spans="1:8" ht="16.2" thickBot="1" x14ac:dyDescent="0.35"/>
    <row r="761" spans="1:8" ht="18" thickBot="1" x14ac:dyDescent="0.35">
      <c r="A761" s="338" t="s">
        <v>123</v>
      </c>
      <c r="B761" s="339"/>
      <c r="C761" s="339"/>
      <c r="D761" s="339"/>
      <c r="E761" s="339"/>
      <c r="F761" s="339"/>
      <c r="G761" s="339"/>
      <c r="H761" s="340"/>
    </row>
    <row r="762" spans="1:8" x14ac:dyDescent="0.3">
      <c r="A762" s="24" t="s">
        <v>569</v>
      </c>
      <c r="B762" s="24">
        <v>353</v>
      </c>
    </row>
    <row r="763" spans="1:8" x14ac:dyDescent="0.3">
      <c r="A763" s="24" t="s">
        <v>720</v>
      </c>
      <c r="B763" s="24">
        <v>0.11</v>
      </c>
    </row>
    <row r="764" spans="1:8" ht="18.600000000000001" x14ac:dyDescent="0.3">
      <c r="A764" s="24" t="s">
        <v>772</v>
      </c>
      <c r="B764" s="24">
        <f>B763*B763</f>
        <v>1.21E-2</v>
      </c>
    </row>
    <row r="766" spans="1:8" ht="16.95" customHeight="1" x14ac:dyDescent="0.3">
      <c r="A766" s="337" t="s">
        <v>773</v>
      </c>
      <c r="B766" s="337"/>
      <c r="C766" s="337"/>
      <c r="D766" s="337"/>
      <c r="E766" s="337"/>
      <c r="F766" s="337"/>
      <c r="G766" s="337"/>
      <c r="H766" s="337"/>
    </row>
    <row r="809" spans="1:10" ht="16.2" thickBot="1" x14ac:dyDescent="0.35"/>
    <row r="810" spans="1:10" ht="18" thickBot="1" x14ac:dyDescent="0.35">
      <c r="A810" s="338" t="s">
        <v>304</v>
      </c>
      <c r="B810" s="339"/>
      <c r="C810" s="339"/>
      <c r="D810" s="339"/>
      <c r="E810" s="339"/>
      <c r="F810" s="339"/>
      <c r="G810" s="339"/>
      <c r="H810" s="339"/>
      <c r="I810" s="339"/>
      <c r="J810" s="340"/>
    </row>
    <row r="811" spans="1:10" x14ac:dyDescent="0.3">
      <c r="A811" s="25"/>
      <c r="B811" s="83"/>
      <c r="C811" s="25"/>
      <c r="D811" s="83"/>
      <c r="E811" s="25"/>
      <c r="F811" s="25"/>
      <c r="G811" s="25"/>
      <c r="H811" s="25"/>
      <c r="I811"/>
      <c r="J811"/>
    </row>
    <row r="812" spans="1:10" x14ac:dyDescent="0.3">
      <c r="A812" s="24">
        <v>1</v>
      </c>
      <c r="B812" s="24">
        <v>1.5</v>
      </c>
      <c r="C812" s="24">
        <f>(B812-$B$56)^2</f>
        <v>0.89520710059171593</v>
      </c>
      <c r="D812" s="24">
        <v>14.9</v>
      </c>
      <c r="E812" s="24">
        <f>(D812-$D$56)^2</f>
        <v>9.5148520710059046</v>
      </c>
      <c r="F812" s="24">
        <f>B812-$B$56</f>
        <v>0.94615384615384612</v>
      </c>
      <c r="G812" s="24">
        <f>D812-$D$56</f>
        <v>3.0846153846153825</v>
      </c>
      <c r="H812" s="24">
        <f>F812*G812</f>
        <v>2.9185207100591697</v>
      </c>
      <c r="I812" s="24">
        <f>$C$834+$E$831*B812</f>
        <v>9.8907871053855665</v>
      </c>
      <c r="J812" s="24">
        <f>(I812-$D$826)^2</f>
        <v>3.7040755754945485</v>
      </c>
    </row>
    <row r="813" spans="1:10" x14ac:dyDescent="0.3">
      <c r="A813" s="24">
        <v>2</v>
      </c>
      <c r="B813" s="24">
        <v>0.2</v>
      </c>
      <c r="C813" s="24">
        <f t="shared" ref="C813:C824" si="69">(B813-$B$56)^2</f>
        <v>0.125207100591716</v>
      </c>
      <c r="D813" s="24">
        <v>-9.1999999999999993</v>
      </c>
      <c r="E813" s="24">
        <f t="shared" ref="E813:E824" si="70">(D813-$D$56)^2</f>
        <v>441.6463905325445</v>
      </c>
      <c r="F813" s="24">
        <f t="shared" ref="F813:F824" si="71">B813-$B$56</f>
        <v>-0.35384615384615387</v>
      </c>
      <c r="G813" s="24">
        <f t="shared" ref="G813:G824" si="72">D813-$D$56</f>
        <v>-21.015384615384619</v>
      </c>
      <c r="H813" s="24">
        <f t="shared" ref="H813:H824" si="73">F813*G813</f>
        <v>7.4362130177514807</v>
      </c>
      <c r="I813" s="24">
        <f t="shared" ref="I813:I824" si="74">$C$834+$E$831*B813</f>
        <v>12.535152789855807</v>
      </c>
      <c r="J813" s="24">
        <f t="shared" ref="J813:J824" si="75">(I813-$D$826)^2</f>
        <v>0.51806622498158894</v>
      </c>
    </row>
    <row r="814" spans="1:10" x14ac:dyDescent="0.3">
      <c r="A814" s="24">
        <v>3</v>
      </c>
      <c r="B814" s="24">
        <v>-0.1</v>
      </c>
      <c r="C814" s="24">
        <f t="shared" si="69"/>
        <v>0.4275147928994083</v>
      </c>
      <c r="D814" s="24">
        <v>19.600000000000001</v>
      </c>
      <c r="E814" s="24">
        <f t="shared" si="70"/>
        <v>60.600236686390517</v>
      </c>
      <c r="F814" s="24">
        <f t="shared" si="71"/>
        <v>-0.65384615384615385</v>
      </c>
      <c r="G814" s="24">
        <f t="shared" si="72"/>
        <v>7.7846153846153836</v>
      </c>
      <c r="H814" s="24">
        <f t="shared" si="73"/>
        <v>-5.0899408284023666</v>
      </c>
      <c r="I814" s="24">
        <f t="shared" si="74"/>
        <v>13.145391024733556</v>
      </c>
      <c r="J814" s="24">
        <f t="shared" si="75"/>
        <v>1.7689170489092545</v>
      </c>
    </row>
    <row r="815" spans="1:10" x14ac:dyDescent="0.3">
      <c r="A815" s="24">
        <v>4</v>
      </c>
      <c r="B815" s="24">
        <v>2.8</v>
      </c>
      <c r="C815" s="24">
        <f t="shared" si="69"/>
        <v>5.0452071005917158</v>
      </c>
      <c r="D815" s="24">
        <v>20.3</v>
      </c>
      <c r="E815" s="24">
        <f t="shared" si="70"/>
        <v>71.988698224852044</v>
      </c>
      <c r="F815" s="24">
        <f t="shared" si="71"/>
        <v>2.2461538461538462</v>
      </c>
      <c r="G815" s="24">
        <f t="shared" si="72"/>
        <v>8.4846153846153829</v>
      </c>
      <c r="H815" s="24">
        <f t="shared" si="73"/>
        <v>19.057751479289937</v>
      </c>
      <c r="I815" s="24">
        <f t="shared" si="74"/>
        <v>7.2464214209153264</v>
      </c>
      <c r="J815" s="24">
        <f t="shared" si="75"/>
        <v>20.875424672415033</v>
      </c>
    </row>
    <row r="816" spans="1:10" x14ac:dyDescent="0.3">
      <c r="A816" s="24">
        <v>5</v>
      </c>
      <c r="B816" s="24">
        <v>2.2000000000000002</v>
      </c>
      <c r="C816" s="24">
        <f t="shared" si="69"/>
        <v>2.7098224852071011</v>
      </c>
      <c r="D816" s="24">
        <v>-3.7</v>
      </c>
      <c r="E816" s="24">
        <f t="shared" si="70"/>
        <v>240.72715976331372</v>
      </c>
      <c r="F816" s="24">
        <f t="shared" si="71"/>
        <v>1.6461538461538463</v>
      </c>
      <c r="G816" s="24">
        <f t="shared" si="72"/>
        <v>-15.515384615384619</v>
      </c>
      <c r="H816" s="24">
        <f t="shared" si="73"/>
        <v>-25.540710059171605</v>
      </c>
      <c r="I816" s="24">
        <f t="shared" si="74"/>
        <v>8.4668978906708219</v>
      </c>
      <c r="J816" s="24">
        <f t="shared" si="75"/>
        <v>11.212363345584524</v>
      </c>
    </row>
    <row r="817" spans="1:10" x14ac:dyDescent="0.3">
      <c r="A817" s="24">
        <v>6</v>
      </c>
      <c r="B817" s="24">
        <v>-1.6</v>
      </c>
      <c r="C817" s="24">
        <f t="shared" si="69"/>
        <v>4.6390532544378713</v>
      </c>
      <c r="D817" s="24">
        <v>27.7</v>
      </c>
      <c r="E817" s="24">
        <f t="shared" si="70"/>
        <v>252.32100591715965</v>
      </c>
      <c r="F817" s="24">
        <f t="shared" si="71"/>
        <v>-2.1538461538461542</v>
      </c>
      <c r="G817" s="24">
        <f t="shared" si="72"/>
        <v>15.884615384615381</v>
      </c>
      <c r="H817" s="24">
        <f t="shared" si="73"/>
        <v>-34.213017751479292</v>
      </c>
      <c r="I817" s="24">
        <f t="shared" si="74"/>
        <v>16.196582199122293</v>
      </c>
      <c r="J817" s="24">
        <f t="shared" si="75"/>
        <v>19.194892267748845</v>
      </c>
    </row>
    <row r="818" spans="1:10" x14ac:dyDescent="0.3">
      <c r="A818" s="24">
        <v>7</v>
      </c>
      <c r="B818" s="24">
        <v>-1.3</v>
      </c>
      <c r="C818" s="24">
        <f t="shared" si="69"/>
        <v>3.4367455621301777</v>
      </c>
      <c r="D818" s="24">
        <v>22.6</v>
      </c>
      <c r="E818" s="24">
        <f t="shared" si="70"/>
        <v>116.30792899408281</v>
      </c>
      <c r="F818" s="24">
        <f t="shared" si="71"/>
        <v>-1.8538461538461539</v>
      </c>
      <c r="G818" s="24">
        <f t="shared" si="72"/>
        <v>10.784615384615384</v>
      </c>
      <c r="H818" s="24">
        <f t="shared" si="73"/>
        <v>-19.99301775147929</v>
      </c>
      <c r="I818" s="24">
        <f t="shared" si="74"/>
        <v>15.586343964244547</v>
      </c>
      <c r="J818" s="24">
        <f t="shared" si="75"/>
        <v>14.220134410754099</v>
      </c>
    </row>
    <row r="819" spans="1:10" x14ac:dyDescent="0.3">
      <c r="A819" s="24">
        <v>8</v>
      </c>
      <c r="B819" s="24">
        <v>5.6</v>
      </c>
      <c r="C819" s="24">
        <f t="shared" si="69"/>
        <v>25.463668639053253</v>
      </c>
      <c r="D819" s="24">
        <v>2.2999999999999998</v>
      </c>
      <c r="E819" s="24">
        <f t="shared" si="70"/>
        <v>90.542544378698295</v>
      </c>
      <c r="F819" s="24">
        <f t="shared" si="71"/>
        <v>5.046153846153846</v>
      </c>
      <c r="G819" s="24">
        <f t="shared" si="72"/>
        <v>-9.5153846153846189</v>
      </c>
      <c r="H819" s="24">
        <f t="shared" si="73"/>
        <v>-48.016094674556228</v>
      </c>
      <c r="I819" s="24">
        <f t="shared" si="74"/>
        <v>1.550864562056347</v>
      </c>
      <c r="J819" s="24">
        <f t="shared" si="75"/>
        <v>105.36037192517821</v>
      </c>
    </row>
    <row r="820" spans="1:10" x14ac:dyDescent="0.3">
      <c r="A820" s="24">
        <v>9</v>
      </c>
      <c r="B820" s="24">
        <v>-1.4</v>
      </c>
      <c r="C820" s="24">
        <f t="shared" si="69"/>
        <v>3.817514792899408</v>
      </c>
      <c r="D820" s="24">
        <v>11.9</v>
      </c>
      <c r="E820" s="24">
        <f t="shared" si="70"/>
        <v>7.1597633136091157E-3</v>
      </c>
      <c r="F820" s="24">
        <f t="shared" si="71"/>
        <v>-1.9538461538461538</v>
      </c>
      <c r="G820" s="24">
        <f t="shared" si="72"/>
        <v>8.4615384615382538E-2</v>
      </c>
      <c r="H820" s="24">
        <f t="shared" si="73"/>
        <v>-0.16532544378697819</v>
      </c>
      <c r="I820" s="24">
        <f t="shared" si="74"/>
        <v>15.789756709203795</v>
      </c>
      <c r="J820" s="24">
        <f t="shared" si="75"/>
        <v>15.79563354012863</v>
      </c>
    </row>
    <row r="821" spans="1:10" x14ac:dyDescent="0.3">
      <c r="A821" s="24">
        <v>10</v>
      </c>
      <c r="B821" s="24">
        <v>1.4</v>
      </c>
      <c r="C821" s="24">
        <f t="shared" si="69"/>
        <v>0.71597633136094652</v>
      </c>
      <c r="D821" s="24">
        <v>27</v>
      </c>
      <c r="E821" s="24">
        <f t="shared" si="70"/>
        <v>230.57254437869815</v>
      </c>
      <c r="F821" s="24">
        <f t="shared" si="71"/>
        <v>0.84615384615384603</v>
      </c>
      <c r="G821" s="24">
        <f t="shared" si="72"/>
        <v>15.184615384615382</v>
      </c>
      <c r="H821" s="24">
        <f t="shared" si="73"/>
        <v>12.848520710059168</v>
      </c>
      <c r="I821" s="24">
        <f t="shared" si="74"/>
        <v>10.094199850344816</v>
      </c>
      <c r="J821" s="24">
        <f t="shared" si="75"/>
        <v>2.9624769954051162</v>
      </c>
    </row>
    <row r="822" spans="1:10" x14ac:dyDescent="0.3">
      <c r="A822" s="24">
        <v>11</v>
      </c>
      <c r="B822" s="24">
        <v>1.5</v>
      </c>
      <c r="C822" s="24">
        <f t="shared" si="69"/>
        <v>0.89520710059171593</v>
      </c>
      <c r="D822" s="24">
        <v>-4.3</v>
      </c>
      <c r="E822" s="24">
        <f t="shared" si="70"/>
        <v>259.70562130177518</v>
      </c>
      <c r="F822" s="24">
        <f t="shared" si="71"/>
        <v>0.94615384615384612</v>
      </c>
      <c r="G822" s="24">
        <f t="shared" si="72"/>
        <v>-16.115384615384617</v>
      </c>
      <c r="H822" s="24">
        <f t="shared" si="73"/>
        <v>-15.247633136094676</v>
      </c>
      <c r="I822" s="24">
        <f t="shared" si="74"/>
        <v>9.8907871053855665</v>
      </c>
      <c r="J822" s="24">
        <f t="shared" si="75"/>
        <v>3.7040755754945485</v>
      </c>
    </row>
    <row r="823" spans="1:10" x14ac:dyDescent="0.3">
      <c r="A823" s="24">
        <v>12</v>
      </c>
      <c r="B823" s="24">
        <v>-4.7</v>
      </c>
      <c r="C823" s="24">
        <f t="shared" si="69"/>
        <v>27.602899408284024</v>
      </c>
      <c r="D823" s="24">
        <v>20.3</v>
      </c>
      <c r="E823" s="24">
        <f t="shared" si="70"/>
        <v>71.988698224852044</v>
      </c>
      <c r="F823" s="24">
        <f t="shared" si="71"/>
        <v>-5.2538461538461538</v>
      </c>
      <c r="G823" s="24">
        <f t="shared" si="72"/>
        <v>8.4846153846153829</v>
      </c>
      <c r="H823" s="24">
        <f t="shared" si="73"/>
        <v>-44.576863905325432</v>
      </c>
      <c r="I823" s="24">
        <f t="shared" si="74"/>
        <v>22.502377292859023</v>
      </c>
      <c r="J823" s="24">
        <f t="shared" si="75"/>
        <v>114.21181248839156</v>
      </c>
    </row>
    <row r="824" spans="1:10" x14ac:dyDescent="0.3">
      <c r="A824" s="24">
        <v>13</v>
      </c>
      <c r="B824" s="24">
        <v>1.1000000000000001</v>
      </c>
      <c r="C824" s="24">
        <f t="shared" si="69"/>
        <v>0.2982840236686391</v>
      </c>
      <c r="D824" s="24">
        <v>4.2</v>
      </c>
      <c r="E824" s="24">
        <f t="shared" si="70"/>
        <v>57.994082840236722</v>
      </c>
      <c r="F824" s="24">
        <f t="shared" si="71"/>
        <v>0.54615384615384621</v>
      </c>
      <c r="G824" s="24">
        <f t="shared" si="72"/>
        <v>-7.6153846153846176</v>
      </c>
      <c r="H824" s="24">
        <f t="shared" si="73"/>
        <v>-4.1591715976331374</v>
      </c>
      <c r="I824" s="24">
        <f t="shared" si="74"/>
        <v>10.704438085222563</v>
      </c>
      <c r="J824" s="24">
        <f t="shared" si="75"/>
        <v>1.2342021928791096</v>
      </c>
    </row>
    <row r="825" spans="1:10" x14ac:dyDescent="0.3">
      <c r="A825" s="24" t="s">
        <v>98</v>
      </c>
      <c r="B825" s="24">
        <f>SUM(B812:B824)</f>
        <v>7.2000000000000011</v>
      </c>
      <c r="C825" s="24">
        <f t="shared" ref="C825:E825" si="76">SUM(C812:C824)</f>
        <v>76.072307692307703</v>
      </c>
      <c r="D825" s="24">
        <f t="shared" si="76"/>
        <v>153.60000000000002</v>
      </c>
      <c r="E825" s="24">
        <f t="shared" si="76"/>
        <v>1903.9169230769232</v>
      </c>
      <c r="F825" s="154"/>
      <c r="G825" s="154"/>
      <c r="H825" s="31">
        <f t="shared" ref="H825" si="77">SUM(H812:H824)</f>
        <v>-154.74076923076925</v>
      </c>
      <c r="J825" s="24">
        <f>SUM(J812:J824)</f>
        <v>314.76244626336506</v>
      </c>
    </row>
    <row r="826" spans="1:10" x14ac:dyDescent="0.3">
      <c r="A826" s="173" t="s">
        <v>3</v>
      </c>
      <c r="B826" s="24">
        <f>B825/13</f>
        <v>0.55384615384615388</v>
      </c>
      <c r="D826" s="24">
        <f t="shared" ref="D826" si="78">D825/13</f>
        <v>11.815384615384618</v>
      </c>
    </row>
    <row r="827" spans="1:10" x14ac:dyDescent="0.3">
      <c r="A827" s="24" t="s">
        <v>134</v>
      </c>
      <c r="B827" s="24">
        <f>VAR(B812:B824)</f>
        <v>6.3393589743589729</v>
      </c>
      <c r="C827" s="24">
        <f>SUM(C812:C824)/12</f>
        <v>6.3393589743589756</v>
      </c>
      <c r="D827" s="24">
        <f>VAR(D812:D824)</f>
        <v>158.65974358974356</v>
      </c>
      <c r="E827" s="24">
        <f t="shared" ref="E827" si="79">SUM(E812:E824)/12</f>
        <v>158.65974358974361</v>
      </c>
    </row>
    <row r="828" spans="1:10" ht="31.2" x14ac:dyDescent="0.3">
      <c r="A828" s="24" t="s">
        <v>4</v>
      </c>
      <c r="B828" s="24">
        <f>STDEV(B812:B824)</f>
        <v>2.5178083672827394</v>
      </c>
      <c r="C828" s="24">
        <f>SQRT(C827)</f>
        <v>2.5178083672827398</v>
      </c>
      <c r="D828" s="24">
        <f>STDEV(D812:D824)</f>
        <v>12.596020942732016</v>
      </c>
      <c r="E828" s="24">
        <f t="shared" ref="E828" si="80">SQRT(E827)</f>
        <v>12.596020942732018</v>
      </c>
    </row>
    <row r="830" spans="1:10" x14ac:dyDescent="0.3">
      <c r="A830"/>
    </row>
    <row r="831" spans="1:10" x14ac:dyDescent="0.3">
      <c r="D831" s="24" t="s">
        <v>316</v>
      </c>
      <c r="E831" s="24">
        <f>H825/C825</f>
        <v>-2.0341274495924928</v>
      </c>
    </row>
    <row r="834" spans="1:8" x14ac:dyDescent="0.3">
      <c r="B834" s="24" t="s">
        <v>316</v>
      </c>
      <c r="C834" s="24">
        <f>D826-E831*B826</f>
        <v>12.941978279774306</v>
      </c>
    </row>
    <row r="836" spans="1:8" x14ac:dyDescent="0.3">
      <c r="C836" s="151"/>
      <c r="D836" s="151"/>
      <c r="E836" s="151"/>
    </row>
    <row r="837" spans="1:8" ht="18" customHeight="1" x14ac:dyDescent="0.3">
      <c r="A837"/>
      <c r="B837" s="24" t="s">
        <v>316</v>
      </c>
      <c r="C837" s="256" t="s">
        <v>766</v>
      </c>
      <c r="D837" s="256"/>
      <c r="E837" s="256"/>
      <c r="F837" s="151"/>
    </row>
    <row r="839" spans="1:8" x14ac:dyDescent="0.3">
      <c r="A839" s="260" t="s">
        <v>53</v>
      </c>
      <c r="B839" s="260"/>
      <c r="C839" s="260"/>
      <c r="D839" s="260"/>
      <c r="E839" s="260"/>
      <c r="F839" s="260"/>
      <c r="G839" s="260"/>
      <c r="H839" s="260"/>
    </row>
    <row r="840" spans="1:8" x14ac:dyDescent="0.3">
      <c r="A840"/>
    </row>
    <row r="841" spans="1:8" x14ac:dyDescent="0.3">
      <c r="C841" s="24" t="s">
        <v>316</v>
      </c>
      <c r="D841" s="62">
        <f>D849/11</f>
        <v>144.46858880123253</v>
      </c>
    </row>
    <row r="843" spans="1:8" x14ac:dyDescent="0.3">
      <c r="A843" s="185"/>
      <c r="C843" s="24" t="s">
        <v>316</v>
      </c>
      <c r="D843" s="24">
        <f>E825</f>
        <v>1903.9169230769232</v>
      </c>
    </row>
    <row r="844" spans="1:8" x14ac:dyDescent="0.3">
      <c r="A844" s="185"/>
    </row>
    <row r="845" spans="1:8" x14ac:dyDescent="0.3">
      <c r="A845" s="185"/>
    </row>
    <row r="846" spans="1:8" x14ac:dyDescent="0.3">
      <c r="A846" s="185"/>
      <c r="C846" s="24" t="s">
        <v>316</v>
      </c>
      <c r="D846" s="24">
        <f>J825</f>
        <v>314.76244626336506</v>
      </c>
    </row>
    <row r="849" spans="1:7" x14ac:dyDescent="0.3">
      <c r="C849" s="24" t="s">
        <v>316</v>
      </c>
      <c r="D849" s="24">
        <f>E860</f>
        <v>1589.1544768135579</v>
      </c>
    </row>
    <row r="851" spans="1:7" x14ac:dyDescent="0.3">
      <c r="C851" s="24" t="s">
        <v>316</v>
      </c>
      <c r="D851" s="24">
        <f>D856</f>
        <v>0.16532362439148718</v>
      </c>
    </row>
    <row r="854" spans="1:7" x14ac:dyDescent="0.3">
      <c r="A854"/>
      <c r="C854" s="24" t="s">
        <v>316</v>
      </c>
      <c r="D854" s="24">
        <f>((1/12)*H825)/(B828*D828)</f>
        <v>-0.40660007918283436</v>
      </c>
    </row>
    <row r="856" spans="1:7" ht="18.600000000000001" x14ac:dyDescent="0.3">
      <c r="A856" s="24" t="s">
        <v>772</v>
      </c>
      <c r="C856" s="24" t="s">
        <v>316</v>
      </c>
      <c r="D856" s="24">
        <f>D854*D854</f>
        <v>0.16532362439148718</v>
      </c>
    </row>
    <row r="858" spans="1:7" ht="18.600000000000001" x14ac:dyDescent="0.3">
      <c r="A858" s="24" t="s">
        <v>774</v>
      </c>
      <c r="B858" s="24" t="s">
        <v>316</v>
      </c>
      <c r="C858" s="24" t="s">
        <v>775</v>
      </c>
      <c r="D858" s="24" t="s">
        <v>316</v>
      </c>
      <c r="E858" s="24">
        <f>1-D856</f>
        <v>0.83467637560851282</v>
      </c>
    </row>
    <row r="860" spans="1:7" ht="18.600000000000001" x14ac:dyDescent="0.3">
      <c r="A860" s="24" t="s">
        <v>776</v>
      </c>
      <c r="B860" s="24" t="s">
        <v>316</v>
      </c>
      <c r="C860" s="24" t="s">
        <v>777</v>
      </c>
      <c r="D860" s="24" t="s">
        <v>316</v>
      </c>
      <c r="E860" s="24">
        <f>E858*D843</f>
        <v>1589.1544768135579</v>
      </c>
    </row>
    <row r="862" spans="1:7" x14ac:dyDescent="0.3">
      <c r="A862" s="260" t="s">
        <v>54</v>
      </c>
      <c r="B862" s="260"/>
      <c r="C862" s="260"/>
      <c r="D862" s="260"/>
      <c r="E862" s="260"/>
      <c r="F862" s="260"/>
      <c r="G862" s="260"/>
    </row>
    <row r="863" spans="1:7" ht="40.950000000000003" customHeight="1" x14ac:dyDescent="0.3">
      <c r="A863" s="344" t="s">
        <v>779</v>
      </c>
      <c r="B863" s="344"/>
      <c r="F863" s="24" t="s">
        <v>316</v>
      </c>
      <c r="G863" s="64">
        <f>D841/C825</f>
        <v>1.8990956523308014</v>
      </c>
    </row>
    <row r="865" spans="1:7" x14ac:dyDescent="0.3">
      <c r="A865" s="260" t="s">
        <v>55</v>
      </c>
      <c r="B865" s="260"/>
      <c r="C865" s="260"/>
      <c r="D865" s="260"/>
      <c r="E865" s="260"/>
      <c r="F865" s="260"/>
      <c r="G865" s="260"/>
    </row>
    <row r="866" spans="1:7" x14ac:dyDescent="0.3">
      <c r="A866"/>
    </row>
    <row r="867" spans="1:7" x14ac:dyDescent="0.3">
      <c r="B867" s="24" t="s">
        <v>316</v>
      </c>
      <c r="C867" s="24">
        <f>TINV(0.025,11)</f>
        <v>2.5930926825393619</v>
      </c>
    </row>
    <row r="871" spans="1:7" x14ac:dyDescent="0.3">
      <c r="B871" s="62">
        <f>E831-C867*G863</f>
        <v>-6.9586584890938097</v>
      </c>
      <c r="C871" s="195" t="s">
        <v>778</v>
      </c>
      <c r="D871" s="62">
        <f>E831+C867*G863</f>
        <v>2.8904035899088241</v>
      </c>
    </row>
    <row r="873" spans="1:7" x14ac:dyDescent="0.3">
      <c r="A873" s="281" t="s">
        <v>56</v>
      </c>
      <c r="B873" s="290"/>
      <c r="C873" s="290"/>
      <c r="D873" s="290"/>
      <c r="E873" s="290"/>
      <c r="F873" s="290"/>
      <c r="G873" s="282"/>
    </row>
    <row r="875" spans="1:7" x14ac:dyDescent="0.3">
      <c r="A875"/>
    </row>
    <row r="878" spans="1:7" x14ac:dyDescent="0.3">
      <c r="B878" s="24" t="s">
        <v>316</v>
      </c>
      <c r="C878" s="62">
        <f>(E831-0)/SQRT(G863)</f>
        <v>-1.4760624787290502</v>
      </c>
      <c r="D878" s="24" t="s">
        <v>662</v>
      </c>
    </row>
    <row r="880" spans="1:7" x14ac:dyDescent="0.3">
      <c r="B880" s="24" t="s">
        <v>316</v>
      </c>
      <c r="C880" s="24">
        <f>TINV(0.05,11)</f>
        <v>2.2009851600916384</v>
      </c>
    </row>
    <row r="882" spans="1:7" x14ac:dyDescent="0.3">
      <c r="A882" s="337" t="s">
        <v>780</v>
      </c>
      <c r="B882" s="337"/>
      <c r="C882" s="337"/>
      <c r="D882" s="337"/>
      <c r="E882" s="337"/>
      <c r="F882" s="337"/>
      <c r="G882" s="337"/>
    </row>
    <row r="926" spans="1:10" ht="16.2" thickBot="1" x14ac:dyDescent="0.35"/>
    <row r="927" spans="1:10" ht="18" thickBot="1" x14ac:dyDescent="0.35">
      <c r="A927" s="338" t="s">
        <v>126</v>
      </c>
      <c r="B927" s="339"/>
      <c r="C927" s="339"/>
      <c r="D927" s="339"/>
      <c r="E927" s="339"/>
      <c r="F927" s="339"/>
      <c r="G927" s="339"/>
      <c r="H927" s="339"/>
      <c r="I927" s="339"/>
      <c r="J927" s="340"/>
    </row>
    <row r="928" spans="1:10" x14ac:dyDescent="0.3">
      <c r="A928" s="25"/>
      <c r="B928" s="83"/>
      <c r="C928" s="25"/>
      <c r="D928" s="83"/>
      <c r="E928" s="25"/>
      <c r="F928" s="25"/>
      <c r="G928" s="25"/>
      <c r="H928" s="25"/>
      <c r="I928"/>
      <c r="J928"/>
    </row>
    <row r="929" spans="1:10" x14ac:dyDescent="0.3">
      <c r="A929" s="24">
        <v>1</v>
      </c>
      <c r="B929" s="24">
        <v>0</v>
      </c>
      <c r="C929" s="24">
        <f>(B929-$B$938)^2</f>
        <v>42.25</v>
      </c>
      <c r="D929" s="24">
        <v>2.4</v>
      </c>
      <c r="E929" s="24">
        <f>(D929-$D$938)^2</f>
        <v>19.360000000000003</v>
      </c>
      <c r="F929" s="24">
        <f>B929-$B$938</f>
        <v>-6.5</v>
      </c>
      <c r="G929" s="24">
        <f>D929-$D$938</f>
        <v>-4.4000000000000004</v>
      </c>
      <c r="H929" s="24">
        <f>F929*G929</f>
        <v>28.6</v>
      </c>
      <c r="I929" s="24">
        <f>$C$947+$E$944*B929</f>
        <v>3.2958333333333343</v>
      </c>
      <c r="J929" s="24">
        <f>(I929-$D$938)^2</f>
        <v>12.279184027777776</v>
      </c>
    </row>
    <row r="930" spans="1:10" x14ac:dyDescent="0.3">
      <c r="A930" s="24">
        <v>2</v>
      </c>
      <c r="B930" s="24">
        <v>4</v>
      </c>
      <c r="C930" s="24">
        <f t="shared" ref="C930:C936" si="81">(B930-$B$938)^2</f>
        <v>6.25</v>
      </c>
      <c r="D930" s="24">
        <v>7.2</v>
      </c>
      <c r="E930" s="24">
        <f t="shared" ref="E930:E936" si="82">(D930-$D$938)^2</f>
        <v>0.15999999999999959</v>
      </c>
      <c r="F930" s="24">
        <f t="shared" ref="F930:F936" si="83">B930-$B$938</f>
        <v>-2.5</v>
      </c>
      <c r="G930" s="24">
        <f t="shared" ref="G930:G936" si="84">D930-$D$938</f>
        <v>0.39999999999999947</v>
      </c>
      <c r="H930" s="24">
        <f t="shared" ref="H930:H936" si="85">F930*G930</f>
        <v>-0.99999999999999867</v>
      </c>
      <c r="I930" s="24">
        <f t="shared" ref="I930:I936" si="86">$C$947+$E$944*B930</f>
        <v>5.4522435897435901</v>
      </c>
      <c r="J930" s="24">
        <f t="shared" ref="J930:J936" si="87">(I930-$D$938)^2</f>
        <v>1.8164473413872462</v>
      </c>
    </row>
    <row r="931" spans="1:10" x14ac:dyDescent="0.3">
      <c r="A931" s="24">
        <v>3</v>
      </c>
      <c r="B931" s="24">
        <v>14</v>
      </c>
      <c r="C931" s="24">
        <f t="shared" si="81"/>
        <v>56.25</v>
      </c>
      <c r="D931" s="24">
        <v>10.3</v>
      </c>
      <c r="E931" s="24">
        <f t="shared" si="82"/>
        <v>12.25</v>
      </c>
      <c r="F931" s="24">
        <f t="shared" si="83"/>
        <v>7.5</v>
      </c>
      <c r="G931" s="24">
        <f t="shared" si="84"/>
        <v>3.5</v>
      </c>
      <c r="H931" s="24">
        <f t="shared" si="85"/>
        <v>26.25</v>
      </c>
      <c r="I931" s="24">
        <f t="shared" si="86"/>
        <v>10.843269230769231</v>
      </c>
      <c r="J931" s="24">
        <f t="shared" si="87"/>
        <v>16.348026072485201</v>
      </c>
    </row>
    <row r="932" spans="1:10" x14ac:dyDescent="0.3">
      <c r="A932" s="24">
        <v>4</v>
      </c>
      <c r="B932" s="24">
        <v>10</v>
      </c>
      <c r="C932" s="24">
        <f t="shared" si="81"/>
        <v>12.25</v>
      </c>
      <c r="D932" s="24">
        <v>9.1</v>
      </c>
      <c r="E932" s="24">
        <f t="shared" si="82"/>
        <v>5.2899999999999947</v>
      </c>
      <c r="F932" s="24">
        <f t="shared" si="83"/>
        <v>3.5</v>
      </c>
      <c r="G932" s="24">
        <f t="shared" si="84"/>
        <v>2.2999999999999989</v>
      </c>
      <c r="H932" s="24">
        <f t="shared" si="85"/>
        <v>8.0499999999999972</v>
      </c>
      <c r="I932" s="24">
        <f t="shared" si="86"/>
        <v>8.6868589743589748</v>
      </c>
      <c r="J932" s="24">
        <f t="shared" si="87"/>
        <v>3.5602367891189997</v>
      </c>
    </row>
    <row r="933" spans="1:10" x14ac:dyDescent="0.3">
      <c r="A933" s="24">
        <v>5</v>
      </c>
      <c r="B933" s="24">
        <v>9</v>
      </c>
      <c r="C933" s="24">
        <f t="shared" si="81"/>
        <v>6.25</v>
      </c>
      <c r="D933" s="24">
        <v>10.199999999999999</v>
      </c>
      <c r="E933" s="24">
        <f t="shared" si="82"/>
        <v>11.55999999999999</v>
      </c>
      <c r="F933" s="24">
        <f t="shared" si="83"/>
        <v>2.5</v>
      </c>
      <c r="G933" s="24">
        <f t="shared" si="84"/>
        <v>3.3999999999999986</v>
      </c>
      <c r="H933" s="24">
        <f t="shared" si="85"/>
        <v>8.4999999999999964</v>
      </c>
      <c r="I933" s="24">
        <f t="shared" si="86"/>
        <v>8.1477564102564113</v>
      </c>
      <c r="J933" s="24">
        <f t="shared" si="87"/>
        <v>1.8164473413872462</v>
      </c>
    </row>
    <row r="934" spans="1:10" x14ac:dyDescent="0.3">
      <c r="A934" s="24">
        <v>6</v>
      </c>
      <c r="B934" s="24">
        <v>8</v>
      </c>
      <c r="C934" s="24">
        <f t="shared" si="81"/>
        <v>2.25</v>
      </c>
      <c r="D934" s="24">
        <v>4.0999999999999996</v>
      </c>
      <c r="E934" s="24">
        <f t="shared" si="82"/>
        <v>7.2900000000000054</v>
      </c>
      <c r="F934" s="24">
        <f t="shared" si="83"/>
        <v>1.5</v>
      </c>
      <c r="G934" s="24">
        <f t="shared" si="84"/>
        <v>-2.7000000000000011</v>
      </c>
      <c r="H934" s="24">
        <f t="shared" si="85"/>
        <v>-4.0500000000000016</v>
      </c>
      <c r="I934" s="24">
        <f t="shared" si="86"/>
        <v>7.6086538461538469</v>
      </c>
      <c r="J934" s="24">
        <f t="shared" si="87"/>
        <v>0.65392104289940833</v>
      </c>
    </row>
    <row r="935" spans="1:10" x14ac:dyDescent="0.3">
      <c r="A935" s="24">
        <v>7</v>
      </c>
      <c r="B935" s="24">
        <v>6</v>
      </c>
      <c r="C935" s="24">
        <f t="shared" si="81"/>
        <v>0.25</v>
      </c>
      <c r="D935" s="24">
        <v>7.6</v>
      </c>
      <c r="E935" s="24">
        <f t="shared" si="82"/>
        <v>0.63999999999999835</v>
      </c>
      <c r="F935" s="24">
        <f t="shared" si="83"/>
        <v>-0.5</v>
      </c>
      <c r="G935" s="24">
        <f t="shared" si="84"/>
        <v>0.79999999999999893</v>
      </c>
      <c r="H935" s="24">
        <f t="shared" si="85"/>
        <v>-0.39999999999999947</v>
      </c>
      <c r="I935" s="24">
        <f t="shared" si="86"/>
        <v>6.530448717948719</v>
      </c>
      <c r="J935" s="24">
        <f t="shared" si="87"/>
        <v>7.265789365548965E-2</v>
      </c>
    </row>
    <row r="936" spans="1:10" x14ac:dyDescent="0.3">
      <c r="A936" s="24">
        <v>8</v>
      </c>
      <c r="B936" s="24">
        <v>1</v>
      </c>
      <c r="C936" s="24">
        <f t="shared" si="81"/>
        <v>30.25</v>
      </c>
      <c r="D936" s="24">
        <v>3.5</v>
      </c>
      <c r="E936" s="24">
        <f t="shared" si="82"/>
        <v>10.890000000000004</v>
      </c>
      <c r="F936" s="24">
        <f t="shared" si="83"/>
        <v>-5.5</v>
      </c>
      <c r="G936" s="24">
        <f t="shared" si="84"/>
        <v>-3.3000000000000007</v>
      </c>
      <c r="H936" s="24">
        <f t="shared" si="85"/>
        <v>18.150000000000006</v>
      </c>
      <c r="I936" s="24">
        <f t="shared" si="86"/>
        <v>3.8349358974358982</v>
      </c>
      <c r="J936" s="24">
        <f t="shared" si="87"/>
        <v>8.7916051323142668</v>
      </c>
    </row>
    <row r="937" spans="1:10" x14ac:dyDescent="0.3">
      <c r="A937" s="24" t="s">
        <v>98</v>
      </c>
      <c r="B937" s="24">
        <f>SUM(B929:B936)</f>
        <v>52</v>
      </c>
      <c r="C937" s="24">
        <f>SUM(C929:C936)</f>
        <v>156</v>
      </c>
      <c r="D937" s="24">
        <f>SUM(D929:D936)</f>
        <v>54.400000000000006</v>
      </c>
      <c r="E937" s="24">
        <f>SUM(E929:E936)</f>
        <v>67.44</v>
      </c>
      <c r="F937" s="154"/>
      <c r="G937" s="154"/>
      <c r="H937" s="31">
        <f>SUM(H929:H936)</f>
        <v>84.1</v>
      </c>
      <c r="J937" s="24">
        <f>SUM(J929:J936)</f>
        <v>45.338525641025633</v>
      </c>
    </row>
    <row r="938" spans="1:10" x14ac:dyDescent="0.3">
      <c r="A938" s="173" t="s">
        <v>3</v>
      </c>
      <c r="B938" s="24">
        <f>B937/8</f>
        <v>6.5</v>
      </c>
      <c r="D938" s="24">
        <f>D937/8</f>
        <v>6.8000000000000007</v>
      </c>
    </row>
    <row r="939" spans="1:10" x14ac:dyDescent="0.3">
      <c r="A939" s="24" t="s">
        <v>134</v>
      </c>
      <c r="B939" s="24">
        <f>VAR(B929:B936)</f>
        <v>22.285714285714285</v>
      </c>
      <c r="C939" s="24">
        <f>SUM(C929:C936)/7</f>
        <v>22.285714285714285</v>
      </c>
      <c r="D939" s="24">
        <f>VAR(D929:D936)</f>
        <v>9.6342857142856975</v>
      </c>
      <c r="E939" s="24">
        <f>SUM(E929:E936)/7</f>
        <v>9.6342857142857135</v>
      </c>
    </row>
    <row r="940" spans="1:10" ht="31.2" x14ac:dyDescent="0.3">
      <c r="A940" s="24" t="s">
        <v>4</v>
      </c>
      <c r="B940" s="24">
        <f>STDEV(B929:B936)</f>
        <v>4.7207747548166585</v>
      </c>
      <c r="C940" s="24">
        <f>SQRT(C939)</f>
        <v>4.7207747548166585</v>
      </c>
      <c r="D940" s="24">
        <f>STDEV(D929:D936)</f>
        <v>3.1039145790897176</v>
      </c>
      <c r="E940" s="24">
        <f t="shared" ref="E940" si="88">SQRT(E939)</f>
        <v>3.1039145790897198</v>
      </c>
    </row>
    <row r="943" spans="1:10" x14ac:dyDescent="0.3">
      <c r="A943"/>
    </row>
    <row r="944" spans="1:10" x14ac:dyDescent="0.3">
      <c r="D944" s="24" t="s">
        <v>316</v>
      </c>
      <c r="E944" s="24">
        <f>H937/C937</f>
        <v>0.53910256410256407</v>
      </c>
    </row>
    <row r="947" spans="1:8" x14ac:dyDescent="0.3">
      <c r="B947" s="24" t="s">
        <v>316</v>
      </c>
      <c r="C947" s="24">
        <f>D938-E944*B938</f>
        <v>3.2958333333333343</v>
      </c>
    </row>
    <row r="949" spans="1:8" x14ac:dyDescent="0.3">
      <c r="C949" s="151"/>
      <c r="D949" s="151"/>
      <c r="E949" s="151"/>
    </row>
    <row r="950" spans="1:8" x14ac:dyDescent="0.3">
      <c r="A950"/>
      <c r="B950" s="24" t="s">
        <v>316</v>
      </c>
      <c r="C950" s="342" t="s">
        <v>781</v>
      </c>
      <c r="D950" s="342"/>
      <c r="E950" s="342"/>
      <c r="F950" s="151"/>
    </row>
    <row r="952" spans="1:8" x14ac:dyDescent="0.3">
      <c r="A952" s="260" t="s">
        <v>53</v>
      </c>
      <c r="B952" s="260"/>
      <c r="C952" s="260"/>
      <c r="D952" s="260"/>
      <c r="E952" s="260"/>
      <c r="F952" s="260"/>
      <c r="G952" s="260"/>
      <c r="H952" s="260"/>
    </row>
    <row r="954" spans="1:8" ht="19.2" customHeight="1" x14ac:dyDescent="0.3">
      <c r="C954" s="24" t="s">
        <v>316</v>
      </c>
      <c r="D954" s="24">
        <f>D962/6</f>
        <v>3.6835790598290483</v>
      </c>
    </row>
    <row r="956" spans="1:8" x14ac:dyDescent="0.3">
      <c r="A956" s="185"/>
      <c r="C956" s="24" t="s">
        <v>316</v>
      </c>
      <c r="D956" s="24">
        <f>E937</f>
        <v>67.44</v>
      </c>
    </row>
    <row r="957" spans="1:8" x14ac:dyDescent="0.3">
      <c r="A957" s="185"/>
    </row>
    <row r="958" spans="1:8" x14ac:dyDescent="0.3">
      <c r="A958" s="185"/>
    </row>
    <row r="959" spans="1:8" x14ac:dyDescent="0.3">
      <c r="A959" s="185"/>
      <c r="C959" s="24" t="s">
        <v>316</v>
      </c>
      <c r="D959" s="24">
        <f>J937</f>
        <v>45.338525641025633</v>
      </c>
    </row>
    <row r="962" spans="1:7" x14ac:dyDescent="0.3">
      <c r="C962" s="24" t="s">
        <v>316</v>
      </c>
      <c r="D962" s="24">
        <f>E973</f>
        <v>22.10147435897429</v>
      </c>
    </row>
    <row r="964" spans="1:7" x14ac:dyDescent="0.3">
      <c r="C964" s="24" t="s">
        <v>316</v>
      </c>
      <c r="D964" s="24">
        <f>D969</f>
        <v>0.67227944307570742</v>
      </c>
      <c r="E964" s="256" t="s">
        <v>783</v>
      </c>
      <c r="F964" s="256"/>
      <c r="G964" s="256"/>
    </row>
    <row r="967" spans="1:7" ht="19.2" customHeight="1" x14ac:dyDescent="0.3">
      <c r="A967"/>
      <c r="C967" s="24" t="s">
        <v>316</v>
      </c>
      <c r="D967" s="24">
        <f>((1/7)*H937)/(B940*D940)</f>
        <v>0.81992648638503407</v>
      </c>
      <c r="E967" s="256" t="s">
        <v>782</v>
      </c>
      <c r="F967" s="256"/>
      <c r="G967" s="256"/>
    </row>
    <row r="969" spans="1:7" ht="18.600000000000001" x14ac:dyDescent="0.3">
      <c r="A969" s="24" t="s">
        <v>772</v>
      </c>
      <c r="C969" s="24" t="s">
        <v>316</v>
      </c>
      <c r="D969" s="24">
        <f>D967*D967</f>
        <v>0.67227944307570742</v>
      </c>
    </row>
    <row r="971" spans="1:7" ht="18.600000000000001" x14ac:dyDescent="0.3">
      <c r="A971" s="24" t="s">
        <v>774</v>
      </c>
      <c r="B971" s="24" t="s">
        <v>316</v>
      </c>
      <c r="C971" s="24" t="s">
        <v>775</v>
      </c>
      <c r="D971" s="24" t="s">
        <v>316</v>
      </c>
      <c r="E971" s="24">
        <f>1-D969</f>
        <v>0.32772055692429258</v>
      </c>
    </row>
    <row r="973" spans="1:7" ht="18.600000000000001" x14ac:dyDescent="0.3">
      <c r="A973" s="24" t="s">
        <v>776</v>
      </c>
      <c r="B973" s="24" t="s">
        <v>316</v>
      </c>
      <c r="C973" s="24" t="s">
        <v>777</v>
      </c>
      <c r="D973" s="24" t="s">
        <v>316</v>
      </c>
      <c r="E973" s="24">
        <f>E971*D956</f>
        <v>22.10147435897429</v>
      </c>
    </row>
    <row r="975" spans="1:7" x14ac:dyDescent="0.3">
      <c r="A975" s="260" t="s">
        <v>54</v>
      </c>
      <c r="B975" s="260"/>
      <c r="C975" s="260"/>
      <c r="D975" s="260"/>
      <c r="E975" s="260"/>
      <c r="F975" s="260"/>
      <c r="G975" s="260"/>
    </row>
    <row r="976" spans="1:7" x14ac:dyDescent="0.3">
      <c r="A976"/>
    </row>
    <row r="977" spans="1:8" x14ac:dyDescent="0.3">
      <c r="B977" s="24" t="s">
        <v>316</v>
      </c>
      <c r="C977" s="24">
        <v>1.9430000000000001</v>
      </c>
    </row>
    <row r="981" spans="1:8" x14ac:dyDescent="0.3">
      <c r="B981" s="189">
        <f>E944-C977*H983</f>
        <v>0.24053302401267018</v>
      </c>
      <c r="C981" s="196" t="s">
        <v>778</v>
      </c>
      <c r="D981" s="189">
        <f>E944+C977*H983</f>
        <v>0.83767210419245797</v>
      </c>
    </row>
    <row r="982" spans="1:8" x14ac:dyDescent="0.3">
      <c r="C982" s="40"/>
    </row>
    <row r="983" spans="1:8" ht="18" x14ac:dyDescent="0.3">
      <c r="A983"/>
      <c r="C983" s="24" t="s">
        <v>316</v>
      </c>
      <c r="D983" s="24">
        <f>D954/C937</f>
        <v>2.3612686280955437E-2</v>
      </c>
      <c r="E983" s="24" t="s">
        <v>787</v>
      </c>
      <c r="F983" s="24" t="s">
        <v>784</v>
      </c>
      <c r="G983" s="24" t="s">
        <v>316</v>
      </c>
      <c r="H983" s="24">
        <f>SQRT(D983)</f>
        <v>0.15366419973746467</v>
      </c>
    </row>
    <row r="1019" spans="1:8" ht="16.2" thickBot="1" x14ac:dyDescent="0.35"/>
    <row r="1020" spans="1:8" ht="18" thickBot="1" x14ac:dyDescent="0.35">
      <c r="A1020" s="338" t="s">
        <v>143</v>
      </c>
      <c r="B1020" s="339"/>
      <c r="C1020" s="339"/>
      <c r="D1020" s="339"/>
      <c r="E1020" s="339"/>
      <c r="F1020" s="339"/>
      <c r="G1020" s="339"/>
      <c r="H1020" s="340"/>
    </row>
    <row r="1021" spans="1:8" x14ac:dyDescent="0.3">
      <c r="A1021" s="25"/>
      <c r="B1021" s="83"/>
      <c r="C1021" s="25"/>
      <c r="E1021" s="25"/>
      <c r="F1021" s="25"/>
      <c r="G1021" s="25"/>
      <c r="H1021" s="25"/>
    </row>
    <row r="1022" spans="1:8" x14ac:dyDescent="0.3">
      <c r="A1022" s="24">
        <v>1</v>
      </c>
      <c r="B1022" s="24">
        <v>-0.2</v>
      </c>
      <c r="C1022" s="24">
        <f>(B1022-$B$501)^2</f>
        <v>0.15999999999999992</v>
      </c>
      <c r="D1022" s="24">
        <v>0.2</v>
      </c>
      <c r="E1022" s="24">
        <f>(D1022-$D$501)^2</f>
        <v>4.0000000000000008E-2</v>
      </c>
      <c r="F1022" s="24">
        <f>B1022-$B$501</f>
        <v>-0.39999999999999991</v>
      </c>
      <c r="G1022" s="24">
        <f>D1022-$D$501</f>
        <v>0.2</v>
      </c>
      <c r="H1022" s="24">
        <f>F1022*G1022</f>
        <v>-7.9999999999999988E-2</v>
      </c>
    </row>
    <row r="1023" spans="1:8" x14ac:dyDescent="0.3">
      <c r="A1023" s="24">
        <v>2</v>
      </c>
      <c r="B1023" s="24">
        <v>-0.1</v>
      </c>
      <c r="C1023" s="24">
        <f t="shared" ref="C1023:C1032" si="89">(B1023-$B$501)^2</f>
        <v>8.9999999999999955E-2</v>
      </c>
      <c r="D1023" s="24">
        <v>0.2</v>
      </c>
      <c r="E1023" s="24">
        <f t="shared" ref="E1023:E1032" si="90">(D1023-$D$501)^2</f>
        <v>4.0000000000000008E-2</v>
      </c>
      <c r="F1023" s="24">
        <f t="shared" ref="F1023:F1032" si="91">B1023-$B$501</f>
        <v>-0.29999999999999993</v>
      </c>
      <c r="G1023" s="24">
        <f t="shared" ref="G1023:G1032" si="92">D1023-$D$501</f>
        <v>0.2</v>
      </c>
      <c r="H1023" s="24">
        <f t="shared" ref="H1023:H1032" si="93">F1023*G1023</f>
        <v>-5.9999999999999991E-2</v>
      </c>
    </row>
    <row r="1024" spans="1:8" x14ac:dyDescent="0.3">
      <c r="A1024" s="24">
        <v>3</v>
      </c>
      <c r="B1024" s="24">
        <v>1.4</v>
      </c>
      <c r="C1024" s="24">
        <f t="shared" si="89"/>
        <v>1.44</v>
      </c>
      <c r="D1024" s="24">
        <v>0.2</v>
      </c>
      <c r="E1024" s="24">
        <f t="shared" si="90"/>
        <v>4.0000000000000008E-2</v>
      </c>
      <c r="F1024" s="24">
        <f t="shared" si="91"/>
        <v>1.2</v>
      </c>
      <c r="G1024" s="24">
        <f t="shared" si="92"/>
        <v>0.2</v>
      </c>
      <c r="H1024" s="24">
        <f t="shared" si="93"/>
        <v>0.24</v>
      </c>
    </row>
    <row r="1025" spans="1:8" x14ac:dyDescent="0.3">
      <c r="A1025" s="24">
        <v>4</v>
      </c>
      <c r="B1025" s="24">
        <v>1</v>
      </c>
      <c r="C1025" s="24">
        <f t="shared" si="89"/>
        <v>0.64000000000000012</v>
      </c>
      <c r="D1025" s="24">
        <v>-0.4</v>
      </c>
      <c r="E1025" s="24">
        <f t="shared" si="90"/>
        <v>0.16000000000000003</v>
      </c>
      <c r="F1025" s="24">
        <f t="shared" si="91"/>
        <v>0.8</v>
      </c>
      <c r="G1025" s="24">
        <f t="shared" si="92"/>
        <v>-0.4</v>
      </c>
      <c r="H1025" s="24">
        <f t="shared" si="93"/>
        <v>-0.32000000000000006</v>
      </c>
    </row>
    <row r="1026" spans="1:8" x14ac:dyDescent="0.3">
      <c r="A1026" s="24">
        <v>5</v>
      </c>
      <c r="B1026" s="24">
        <v>-0.3</v>
      </c>
      <c r="C1026" s="24">
        <f t="shared" si="89"/>
        <v>0.24999999999999989</v>
      </c>
      <c r="D1026" s="24">
        <v>-0.1</v>
      </c>
      <c r="E1026" s="24">
        <f t="shared" si="90"/>
        <v>1.0000000000000002E-2</v>
      </c>
      <c r="F1026" s="24">
        <f t="shared" si="91"/>
        <v>-0.49999999999999989</v>
      </c>
      <c r="G1026" s="24">
        <f t="shared" si="92"/>
        <v>-0.1</v>
      </c>
      <c r="H1026" s="24">
        <f t="shared" si="93"/>
        <v>4.9999999999999989E-2</v>
      </c>
    </row>
    <row r="1027" spans="1:8" x14ac:dyDescent="0.3">
      <c r="A1027" s="24">
        <v>6</v>
      </c>
      <c r="B1027" s="24">
        <v>-0.7</v>
      </c>
      <c r="C1027" s="24">
        <f t="shared" si="89"/>
        <v>0.80999999999999983</v>
      </c>
      <c r="D1027" s="24">
        <v>0.2</v>
      </c>
      <c r="E1027" s="24">
        <f t="shared" si="90"/>
        <v>4.0000000000000008E-2</v>
      </c>
      <c r="F1027" s="24">
        <f t="shared" si="91"/>
        <v>-0.89999999999999991</v>
      </c>
      <c r="G1027" s="24">
        <f t="shared" si="92"/>
        <v>0.2</v>
      </c>
      <c r="H1027" s="24">
        <f t="shared" si="93"/>
        <v>-0.18</v>
      </c>
    </row>
    <row r="1028" spans="1:8" x14ac:dyDescent="0.3">
      <c r="A1028" s="24">
        <v>7</v>
      </c>
      <c r="B1028" s="24">
        <v>0.7</v>
      </c>
      <c r="C1028" s="24">
        <f t="shared" si="89"/>
        <v>0.25</v>
      </c>
      <c r="D1028" s="24">
        <v>-0.1</v>
      </c>
      <c r="E1028" s="24">
        <f t="shared" si="90"/>
        <v>1.0000000000000002E-2</v>
      </c>
      <c r="F1028" s="24">
        <f t="shared" si="91"/>
        <v>0.5</v>
      </c>
      <c r="G1028" s="24">
        <f t="shared" si="92"/>
        <v>-0.1</v>
      </c>
      <c r="H1028" s="24">
        <f t="shared" si="93"/>
        <v>-0.05</v>
      </c>
    </row>
    <row r="1029" spans="1:8" x14ac:dyDescent="0.3">
      <c r="A1029" s="24">
        <v>8</v>
      </c>
      <c r="B1029" s="24">
        <v>2.9</v>
      </c>
      <c r="C1029" s="24">
        <f t="shared" si="89"/>
        <v>7.2900000000000009</v>
      </c>
      <c r="D1029" s="24">
        <v>-0.8</v>
      </c>
      <c r="E1029" s="24">
        <f t="shared" si="90"/>
        <v>0.64000000000000012</v>
      </c>
      <c r="F1029" s="24">
        <f t="shared" si="91"/>
        <v>2.7</v>
      </c>
      <c r="G1029" s="24">
        <f t="shared" si="92"/>
        <v>-0.8</v>
      </c>
      <c r="H1029" s="24">
        <f t="shared" si="93"/>
        <v>-2.16</v>
      </c>
    </row>
    <row r="1030" spans="1:8" x14ac:dyDescent="0.3">
      <c r="A1030" s="24">
        <v>9</v>
      </c>
      <c r="B1030" s="24">
        <v>-0.8</v>
      </c>
      <c r="C1030" s="24">
        <f t="shared" si="89"/>
        <v>1</v>
      </c>
      <c r="D1030" s="24">
        <v>0.2</v>
      </c>
      <c r="E1030" s="24">
        <f t="shared" si="90"/>
        <v>4.0000000000000008E-2</v>
      </c>
      <c r="F1030" s="24">
        <f t="shared" si="91"/>
        <v>-1</v>
      </c>
      <c r="G1030" s="24">
        <f t="shared" si="92"/>
        <v>0.2</v>
      </c>
      <c r="H1030" s="24">
        <f t="shared" si="93"/>
        <v>-0.2</v>
      </c>
    </row>
    <row r="1031" spans="1:8" x14ac:dyDescent="0.3">
      <c r="A1031" s="24">
        <v>10</v>
      </c>
      <c r="B1031" s="24">
        <v>-0.7</v>
      </c>
      <c r="C1031" s="24">
        <f t="shared" si="89"/>
        <v>0.80999999999999983</v>
      </c>
      <c r="D1031" s="24">
        <v>0.2</v>
      </c>
      <c r="E1031" s="24">
        <f t="shared" si="90"/>
        <v>4.0000000000000008E-2</v>
      </c>
      <c r="F1031" s="24">
        <f t="shared" si="91"/>
        <v>-0.89999999999999991</v>
      </c>
      <c r="G1031" s="24">
        <f t="shared" si="92"/>
        <v>0.2</v>
      </c>
      <c r="H1031" s="24">
        <f t="shared" si="93"/>
        <v>-0.18</v>
      </c>
    </row>
    <row r="1032" spans="1:8" x14ac:dyDescent="0.3">
      <c r="A1032" s="24">
        <v>11</v>
      </c>
      <c r="B1032" s="24">
        <v>-1</v>
      </c>
      <c r="C1032" s="24">
        <f t="shared" si="89"/>
        <v>1.44</v>
      </c>
      <c r="D1032" s="24">
        <v>0.2</v>
      </c>
      <c r="E1032" s="24">
        <f t="shared" si="90"/>
        <v>4.0000000000000008E-2</v>
      </c>
      <c r="F1032" s="24">
        <f t="shared" si="91"/>
        <v>-1.2</v>
      </c>
      <c r="G1032" s="24">
        <f t="shared" si="92"/>
        <v>0.2</v>
      </c>
      <c r="H1032" s="24">
        <f t="shared" si="93"/>
        <v>-0.24</v>
      </c>
    </row>
    <row r="1033" spans="1:8" x14ac:dyDescent="0.3">
      <c r="A1033" s="24" t="s">
        <v>98</v>
      </c>
      <c r="B1033" s="24">
        <f>SUM(B1022:B1032)</f>
        <v>2.1999999999999993</v>
      </c>
      <c r="C1033" s="24">
        <f>SUM(C1022:C1032)</f>
        <v>14.18</v>
      </c>
      <c r="D1033" s="24">
        <f>SUM(D1022:D1032)</f>
        <v>0</v>
      </c>
      <c r="E1033" s="24">
        <f>SUM(E1022:E1032)</f>
        <v>1.1000000000000003</v>
      </c>
      <c r="F1033" s="154"/>
      <c r="G1033" s="154"/>
      <c r="H1033" s="31">
        <f>SUM(H1022:H1032)</f>
        <v>-3.1800000000000006</v>
      </c>
    </row>
    <row r="1034" spans="1:8" x14ac:dyDescent="0.3">
      <c r="A1034" s="173" t="s">
        <v>3</v>
      </c>
      <c r="B1034" s="24">
        <f>B1033/11</f>
        <v>0.19999999999999993</v>
      </c>
      <c r="D1034" s="24">
        <f>D1033/11</f>
        <v>0</v>
      </c>
    </row>
    <row r="1035" spans="1:8" x14ac:dyDescent="0.3">
      <c r="A1035" s="24" t="s">
        <v>134</v>
      </c>
      <c r="B1035" s="24">
        <f>VAR(B1022:B1032)</f>
        <v>1.4179999999999999</v>
      </c>
      <c r="C1035" s="24">
        <f>SUM(C1022:C1032)/10</f>
        <v>1.4179999999999999</v>
      </c>
      <c r="D1035" s="24">
        <f>VAR(D1022:D1032)</f>
        <v>0.11000000000000003</v>
      </c>
      <c r="E1035" s="24">
        <f>SUM(E1022:E1032)/10</f>
        <v>0.11000000000000003</v>
      </c>
    </row>
    <row r="1036" spans="1:8" ht="31.2" x14ac:dyDescent="0.3">
      <c r="A1036" s="24" t="s">
        <v>4</v>
      </c>
      <c r="B1036" s="24">
        <f>STDEV(B1022:B1032)</f>
        <v>1.1907980517283356</v>
      </c>
      <c r="C1036" s="24">
        <f>SQRT(C1035)</f>
        <v>1.1907980517283356</v>
      </c>
      <c r="D1036" s="24">
        <f>STDEV(D1022:D1032)</f>
        <v>0.33166247903554003</v>
      </c>
      <c r="E1036" s="24">
        <f t="shared" ref="E1036" si="94">SQRT(E1035)</f>
        <v>0.33166247903554003</v>
      </c>
    </row>
    <row r="1038" spans="1:8" x14ac:dyDescent="0.3">
      <c r="A1038"/>
    </row>
    <row r="1039" spans="1:8" x14ac:dyDescent="0.3">
      <c r="D1039" s="24" t="s">
        <v>316</v>
      </c>
      <c r="E1039" s="24">
        <f>H1033/C1033</f>
        <v>-0.22425952045133996</v>
      </c>
    </row>
    <row r="1041" spans="1:8" x14ac:dyDescent="0.3">
      <c r="H1041" s="24">
        <f>(E1039-0)/G1057</f>
        <v>-4.0732053589124178</v>
      </c>
    </row>
    <row r="1042" spans="1:8" x14ac:dyDescent="0.3">
      <c r="B1042" s="24" t="s">
        <v>316</v>
      </c>
      <c r="C1042" s="24">
        <f>D1034-E1039*B1034</f>
        <v>4.4851904090267972E-2</v>
      </c>
    </row>
    <row r="1044" spans="1:8" x14ac:dyDescent="0.3">
      <c r="C1044" s="260" t="s">
        <v>53</v>
      </c>
      <c r="D1044" s="260"/>
      <c r="E1044" s="260"/>
    </row>
    <row r="1045" spans="1:8" x14ac:dyDescent="0.3">
      <c r="A1045"/>
      <c r="B1045" s="24" t="s">
        <v>316</v>
      </c>
      <c r="C1045" s="256" t="s">
        <v>768</v>
      </c>
      <c r="D1045" s="256"/>
      <c r="E1045" s="256"/>
      <c r="F1045" s="151"/>
    </row>
    <row r="1047" spans="1:8" x14ac:dyDescent="0.3">
      <c r="A1047"/>
    </row>
    <row r="1050" spans="1:8" x14ac:dyDescent="0.3">
      <c r="B1050" s="24" t="s">
        <v>316</v>
      </c>
      <c r="C1050" s="24">
        <f>(E1039-0)/G1057</f>
        <v>-4.0732053589124178</v>
      </c>
      <c r="D1050" s="24" t="s">
        <v>656</v>
      </c>
    </row>
    <row r="1052" spans="1:8" x14ac:dyDescent="0.3">
      <c r="B1052" s="24" t="s">
        <v>316</v>
      </c>
      <c r="C1052" s="24">
        <f>TINV(0.05,9)</f>
        <v>2.2621571627982053</v>
      </c>
    </row>
    <row r="1054" spans="1:8" x14ac:dyDescent="0.3">
      <c r="A1054" s="337" t="s">
        <v>785</v>
      </c>
      <c r="B1054" s="337"/>
      <c r="C1054" s="337"/>
      <c r="D1054" s="337"/>
      <c r="E1054" s="337"/>
      <c r="F1054" s="337"/>
      <c r="G1054" s="337"/>
    </row>
    <row r="1056" spans="1:8" x14ac:dyDescent="0.3">
      <c r="A1056"/>
    </row>
    <row r="1057" spans="1:7" ht="18" x14ac:dyDescent="0.3">
      <c r="C1057" s="24" t="s">
        <v>316</v>
      </c>
      <c r="D1057" s="24">
        <f>D1060/C1033</f>
        <v>3.0313017157556736E-3</v>
      </c>
      <c r="E1057" s="24" t="s">
        <v>784</v>
      </c>
      <c r="F1057" s="24" t="s">
        <v>316</v>
      </c>
      <c r="G1057" s="24">
        <f>SQRT(D1057)</f>
        <v>5.5057258520159483E-2</v>
      </c>
    </row>
    <row r="1060" spans="1:7" x14ac:dyDescent="0.3">
      <c r="A1060"/>
      <c r="C1060" s="24" t="s">
        <v>316</v>
      </c>
      <c r="D1060" s="24">
        <f>E1066/9</f>
        <v>4.2983858329415453E-2</v>
      </c>
    </row>
    <row r="1063" spans="1:7" x14ac:dyDescent="0.3">
      <c r="A1063"/>
    </row>
    <row r="1066" spans="1:7" ht="18.600000000000001" x14ac:dyDescent="0.3">
      <c r="A1066" s="24" t="s">
        <v>776</v>
      </c>
      <c r="B1066" s="24" t="s">
        <v>316</v>
      </c>
      <c r="C1066" s="24" t="s">
        <v>777</v>
      </c>
      <c r="D1066" s="24" t="s">
        <v>316</v>
      </c>
      <c r="E1066" s="24">
        <f>D1069*(1-D1076)</f>
        <v>0.38685472496473905</v>
      </c>
    </row>
    <row r="1068" spans="1:7" x14ac:dyDescent="0.3">
      <c r="A1068"/>
    </row>
    <row r="1069" spans="1:7" x14ac:dyDescent="0.3">
      <c r="C1069" s="24" t="s">
        <v>316</v>
      </c>
      <c r="D1069" s="24">
        <f>E1033</f>
        <v>1.1000000000000003</v>
      </c>
    </row>
    <row r="1073" spans="1:4" x14ac:dyDescent="0.3">
      <c r="C1073" s="24" t="s">
        <v>316</v>
      </c>
      <c r="D1073" s="24">
        <f>((1/10)*H1033)/(B1036*D1036)</f>
        <v>-0.80517941255082515</v>
      </c>
    </row>
    <row r="1076" spans="1:4" ht="18.600000000000001" x14ac:dyDescent="0.3">
      <c r="A1076" s="24" t="s">
        <v>772</v>
      </c>
      <c r="C1076" s="24" t="s">
        <v>316</v>
      </c>
      <c r="D1076" s="24">
        <f>D1073^2</f>
        <v>0.64831388639569187</v>
      </c>
    </row>
    <row r="1108" spans="1:10" ht="16.2" thickBot="1" x14ac:dyDescent="0.35"/>
    <row r="1109" spans="1:10" ht="18" thickBot="1" x14ac:dyDescent="0.35">
      <c r="A1109" s="338" t="s">
        <v>156</v>
      </c>
      <c r="B1109" s="339"/>
      <c r="C1109" s="339"/>
      <c r="D1109" s="339"/>
      <c r="E1109" s="339"/>
      <c r="F1109" s="339"/>
      <c r="G1109" s="339"/>
      <c r="H1109" s="339"/>
      <c r="I1109" s="339"/>
      <c r="J1109" s="340"/>
    </row>
    <row r="1110" spans="1:10" x14ac:dyDescent="0.3">
      <c r="A1110" s="25"/>
      <c r="B1110" s="83"/>
      <c r="C1110" s="25"/>
      <c r="D1110" s="83"/>
      <c r="E1110" s="25"/>
      <c r="F1110" s="25"/>
      <c r="G1110" s="25"/>
      <c r="H1110" s="25"/>
      <c r="I1110"/>
      <c r="J1110"/>
    </row>
    <row r="1111" spans="1:10" x14ac:dyDescent="0.3">
      <c r="A1111" s="24">
        <v>1</v>
      </c>
      <c r="B1111" s="24">
        <v>1.2</v>
      </c>
      <c r="C1111" s="24">
        <f>(B1111-$B$1117)^2</f>
        <v>3.6000000000000329E-3</v>
      </c>
      <c r="D1111" s="24">
        <v>25</v>
      </c>
      <c r="E1111" s="24">
        <f>(D1111-$D$1117)^2</f>
        <v>1.959999999999996</v>
      </c>
      <c r="F1111" s="24">
        <f>B1111-$B$1117</f>
        <v>-6.0000000000000275E-2</v>
      </c>
      <c r="G1111" s="24">
        <f>D1111-$D$1117</f>
        <v>1.3999999999999986</v>
      </c>
      <c r="H1111" s="24">
        <f>F1111*G1111</f>
        <v>-8.4000000000000297E-2</v>
      </c>
      <c r="I1111" s="24">
        <f>$C$1126+$E$1123*B1111</f>
        <v>27.105263157894754</v>
      </c>
      <c r="J1111" s="24">
        <f>(I1111-$D$1117)^2</f>
        <v>12.286869806094293</v>
      </c>
    </row>
    <row r="1112" spans="1:10" x14ac:dyDescent="0.3">
      <c r="A1112" s="24">
        <v>2</v>
      </c>
      <c r="B1112" s="24">
        <v>1</v>
      </c>
      <c r="C1112" s="24">
        <f t="shared" ref="C1112:C1115" si="95">(B1112-$B$1117)^2</f>
        <v>6.7600000000000118E-2</v>
      </c>
      <c r="D1112" s="24">
        <v>40</v>
      </c>
      <c r="E1112" s="24">
        <f t="shared" ref="E1112:E1115" si="96">(D1112-$D$1117)^2</f>
        <v>268.95999999999998</v>
      </c>
      <c r="F1112" s="24">
        <f t="shared" ref="F1112:F1115" si="97">B1112-$B$1117</f>
        <v>-0.26000000000000023</v>
      </c>
      <c r="G1112" s="24">
        <f t="shared" ref="G1112:G1115" si="98">D1112-$D$1117</f>
        <v>16.399999999999999</v>
      </c>
      <c r="H1112" s="24">
        <f t="shared" ref="H1112:H1115" si="99">F1112*G1112</f>
        <v>-4.2640000000000038</v>
      </c>
      <c r="I1112" s="24">
        <f t="shared" ref="I1112:I1115" si="100">$C$1126+$E$1123*B1112</f>
        <v>38.789473684210542</v>
      </c>
      <c r="J1112" s="24">
        <f t="shared" ref="J1112:J1115" si="101">(I1112-$D$1117)^2</f>
        <v>230.72011080332453</v>
      </c>
    </row>
    <row r="1113" spans="1:10" x14ac:dyDescent="0.3">
      <c r="A1113" s="24">
        <v>3</v>
      </c>
      <c r="B1113" s="24">
        <v>1.5</v>
      </c>
      <c r="C1113" s="24">
        <f t="shared" si="95"/>
        <v>5.7599999999999887E-2</v>
      </c>
      <c r="D1113" s="24">
        <v>10</v>
      </c>
      <c r="E1113" s="24">
        <f t="shared" si="96"/>
        <v>184.96000000000004</v>
      </c>
      <c r="F1113" s="24">
        <f t="shared" si="97"/>
        <v>0.23999999999999977</v>
      </c>
      <c r="G1113" s="24">
        <f t="shared" si="98"/>
        <v>-13.600000000000001</v>
      </c>
      <c r="H1113" s="24">
        <f t="shared" si="99"/>
        <v>-3.2639999999999971</v>
      </c>
      <c r="I1113" s="24">
        <f t="shared" si="100"/>
        <v>9.5789473684210549</v>
      </c>
      <c r="J1113" s="24">
        <f t="shared" si="101"/>
        <v>196.5899168975069</v>
      </c>
    </row>
    <row r="1114" spans="1:10" x14ac:dyDescent="0.3">
      <c r="A1114" s="24">
        <v>4</v>
      </c>
      <c r="B1114" s="24">
        <v>1.2</v>
      </c>
      <c r="C1114" s="24">
        <f t="shared" si="95"/>
        <v>3.6000000000000329E-3</v>
      </c>
      <c r="D1114" s="24">
        <v>27</v>
      </c>
      <c r="E1114" s="24">
        <f t="shared" si="96"/>
        <v>11.55999999999999</v>
      </c>
      <c r="F1114" s="24">
        <f t="shared" si="97"/>
        <v>-6.0000000000000275E-2</v>
      </c>
      <c r="G1114" s="24">
        <f t="shared" si="98"/>
        <v>3.3999999999999986</v>
      </c>
      <c r="H1114" s="24">
        <f t="shared" si="99"/>
        <v>-0.20400000000000085</v>
      </c>
      <c r="I1114" s="24">
        <f t="shared" si="100"/>
        <v>27.105263157894754</v>
      </c>
      <c r="J1114" s="24">
        <f t="shared" si="101"/>
        <v>12.286869806094293</v>
      </c>
    </row>
    <row r="1115" spans="1:10" x14ac:dyDescent="0.3">
      <c r="A1115" s="24">
        <v>5</v>
      </c>
      <c r="B1115" s="24">
        <v>1.4</v>
      </c>
      <c r="C1115" s="24">
        <f t="shared" si="95"/>
        <v>1.9599999999999909E-2</v>
      </c>
      <c r="D1115" s="24">
        <v>16</v>
      </c>
      <c r="E1115" s="24">
        <f t="shared" si="96"/>
        <v>57.760000000000019</v>
      </c>
      <c r="F1115" s="24">
        <f t="shared" si="97"/>
        <v>0.13999999999999968</v>
      </c>
      <c r="G1115" s="24">
        <f t="shared" si="98"/>
        <v>-7.6000000000000014</v>
      </c>
      <c r="H1115" s="24">
        <f t="shared" si="99"/>
        <v>-1.0639999999999978</v>
      </c>
      <c r="I1115" s="24">
        <f t="shared" si="100"/>
        <v>15.421052631578959</v>
      </c>
      <c r="J1115" s="24">
        <f t="shared" si="101"/>
        <v>66.895180055401497</v>
      </c>
    </row>
    <row r="1116" spans="1:10" x14ac:dyDescent="0.3">
      <c r="A1116" s="24" t="s">
        <v>98</v>
      </c>
      <c r="B1116" s="24">
        <f>SUM(B1111:B1115)</f>
        <v>6.3000000000000007</v>
      </c>
      <c r="C1116" s="24">
        <f>SUM(C1111:C1115)</f>
        <v>0.15199999999999997</v>
      </c>
      <c r="D1116" s="24">
        <f>SUM(D1111:D1115)</f>
        <v>118</v>
      </c>
      <c r="E1116" s="24">
        <f>SUM(E1111:E1115)</f>
        <v>525.20000000000005</v>
      </c>
      <c r="F1116" s="154"/>
      <c r="G1116" s="154"/>
      <c r="H1116" s="31">
        <f>SUM(H1111:H1115)</f>
        <v>-8.8800000000000008</v>
      </c>
      <c r="J1116" s="24">
        <f>SUM(J1111:J1115)</f>
        <v>518.77894736842154</v>
      </c>
    </row>
    <row r="1117" spans="1:10" x14ac:dyDescent="0.3">
      <c r="A1117" s="173" t="s">
        <v>3</v>
      </c>
      <c r="B1117" s="24">
        <f>B1116/5</f>
        <v>1.2600000000000002</v>
      </c>
      <c r="D1117" s="24">
        <f>D1116/5</f>
        <v>23.6</v>
      </c>
    </row>
    <row r="1118" spans="1:10" x14ac:dyDescent="0.3">
      <c r="A1118" s="24" t="s">
        <v>134</v>
      </c>
      <c r="B1118" s="24">
        <f>VAR(B1111:B1115)</f>
        <v>3.7999999999998924E-2</v>
      </c>
      <c r="C1118" s="24">
        <f>SUM(C1111:C1115)/4</f>
        <v>3.7999999999999992E-2</v>
      </c>
      <c r="D1118" s="24">
        <f>VAR(D1111:D1115)</f>
        <v>131.29999999999995</v>
      </c>
      <c r="E1118" s="24">
        <f>SUM(E1111:E1115)/4</f>
        <v>131.30000000000001</v>
      </c>
    </row>
    <row r="1119" spans="1:10" ht="31.2" x14ac:dyDescent="0.3">
      <c r="A1119" s="24" t="s">
        <v>4</v>
      </c>
      <c r="B1119" s="24">
        <f>STDEV(B1111:B1115)</f>
        <v>0.19493588689617652</v>
      </c>
      <c r="C1119" s="24">
        <f>SQRT(C1118)</f>
        <v>0.19493588689617924</v>
      </c>
      <c r="D1119" s="24">
        <f>STDEV(D1111:D1115)</f>
        <v>11.458621208504972</v>
      </c>
      <c r="E1119" s="24">
        <f t="shared" ref="E1119" si="102">SQRT(E1118)</f>
        <v>11.458621208504974</v>
      </c>
    </row>
    <row r="1122" spans="1:8" x14ac:dyDescent="0.3">
      <c r="A1122"/>
    </row>
    <row r="1123" spans="1:8" x14ac:dyDescent="0.3">
      <c r="D1123" s="24" t="s">
        <v>316</v>
      </c>
      <c r="E1123" s="24">
        <f>H1116/C1116</f>
        <v>-58.421052631578966</v>
      </c>
    </row>
    <row r="1126" spans="1:8" x14ac:dyDescent="0.3">
      <c r="B1126" s="24" t="s">
        <v>316</v>
      </c>
      <c r="C1126" s="24">
        <f>D1117-E1123*B1117</f>
        <v>97.210526315789508</v>
      </c>
    </row>
    <row r="1128" spans="1:8" x14ac:dyDescent="0.3">
      <c r="C1128" s="151"/>
      <c r="D1128" s="151"/>
      <c r="E1128" s="151"/>
    </row>
    <row r="1129" spans="1:8" x14ac:dyDescent="0.3">
      <c r="A1129"/>
      <c r="B1129" s="24" t="s">
        <v>316</v>
      </c>
      <c r="C1129" s="342" t="s">
        <v>786</v>
      </c>
      <c r="D1129" s="342"/>
      <c r="E1129" s="342"/>
      <c r="F1129" s="151"/>
    </row>
    <row r="1131" spans="1:8" x14ac:dyDescent="0.3">
      <c r="A1131" s="260" t="s">
        <v>53</v>
      </c>
      <c r="B1131" s="260"/>
      <c r="C1131" s="260"/>
      <c r="D1131" s="260"/>
      <c r="E1131" s="260"/>
      <c r="F1131" s="260"/>
      <c r="G1131" s="260"/>
      <c r="H1131" s="260"/>
    </row>
    <row r="1133" spans="1:8" x14ac:dyDescent="0.3">
      <c r="C1133" s="24" t="s">
        <v>316</v>
      </c>
      <c r="D1133" s="24">
        <f>D1141/4</f>
        <v>1.6052631578909806</v>
      </c>
    </row>
    <row r="1135" spans="1:8" x14ac:dyDescent="0.3">
      <c r="A1135" s="185"/>
      <c r="C1135" s="24" t="s">
        <v>316</v>
      </c>
      <c r="D1135" s="24">
        <f>E1116</f>
        <v>525.20000000000005</v>
      </c>
    </row>
    <row r="1136" spans="1:8" x14ac:dyDescent="0.3">
      <c r="A1136" s="185"/>
    </row>
    <row r="1137" spans="1:7" x14ac:dyDescent="0.3">
      <c r="A1137" s="185"/>
    </row>
    <row r="1138" spans="1:7" x14ac:dyDescent="0.3">
      <c r="A1138" s="185"/>
      <c r="C1138" s="24" t="s">
        <v>316</v>
      </c>
      <c r="D1138" s="24">
        <f>J1116</f>
        <v>518.77894736842154</v>
      </c>
    </row>
    <row r="1141" spans="1:7" x14ac:dyDescent="0.3">
      <c r="C1141" s="24" t="s">
        <v>316</v>
      </c>
      <c r="D1141" s="24">
        <f>E1152</f>
        <v>6.4210526315639225</v>
      </c>
    </row>
    <row r="1143" spans="1:7" x14ac:dyDescent="0.3">
      <c r="C1143" s="24" t="s">
        <v>316</v>
      </c>
      <c r="D1143" s="24">
        <f>D1148</f>
        <v>0.98777408105185849</v>
      </c>
      <c r="E1143" s="256" t="s">
        <v>783</v>
      </c>
      <c r="F1143" s="256"/>
      <c r="G1143" s="256"/>
    </row>
    <row r="1146" spans="1:7" x14ac:dyDescent="0.3">
      <c r="A1146"/>
      <c r="C1146" s="24" t="s">
        <v>316</v>
      </c>
      <c r="D1146" s="24">
        <f>((1/4)*H1116)/(B1119*D1119)</f>
        <v>-0.99386824129351192</v>
      </c>
      <c r="E1146" s="256" t="s">
        <v>782</v>
      </c>
      <c r="F1146" s="256"/>
      <c r="G1146" s="256"/>
    </row>
    <row r="1148" spans="1:7" ht="18.600000000000001" x14ac:dyDescent="0.3">
      <c r="A1148" s="24" t="s">
        <v>772</v>
      </c>
      <c r="C1148" s="24" t="s">
        <v>316</v>
      </c>
      <c r="D1148" s="24">
        <f>D1146*D1146</f>
        <v>0.98777408105185849</v>
      </c>
    </row>
    <row r="1150" spans="1:7" ht="18.600000000000001" x14ac:dyDescent="0.3">
      <c r="A1150" s="24" t="s">
        <v>774</v>
      </c>
      <c r="B1150" s="24" t="s">
        <v>316</v>
      </c>
      <c r="C1150" s="24" t="s">
        <v>775</v>
      </c>
      <c r="D1150" s="24" t="s">
        <v>316</v>
      </c>
      <c r="E1150" s="24">
        <f>1-D1148</f>
        <v>1.2225918948141512E-2</v>
      </c>
    </row>
    <row r="1152" spans="1:7" ht="18.600000000000001" x14ac:dyDescent="0.3">
      <c r="A1152" s="24" t="s">
        <v>776</v>
      </c>
      <c r="B1152" s="24" t="s">
        <v>316</v>
      </c>
      <c r="C1152" s="24" t="s">
        <v>777</v>
      </c>
      <c r="D1152" s="24" t="s">
        <v>316</v>
      </c>
      <c r="E1152" s="24">
        <f>E1150*D1135</f>
        <v>6.4210526315639225</v>
      </c>
    </row>
    <row r="1154" spans="1:7" x14ac:dyDescent="0.3">
      <c r="A1154" s="260" t="s">
        <v>54</v>
      </c>
      <c r="B1154" s="260"/>
      <c r="C1154" s="260"/>
      <c r="D1154" s="260"/>
      <c r="E1154" s="260"/>
      <c r="F1154" s="260"/>
      <c r="G1154" s="260"/>
    </row>
    <row r="1155" spans="1:7" x14ac:dyDescent="0.3">
      <c r="A1155"/>
    </row>
    <row r="1156" spans="1:7" x14ac:dyDescent="0.3">
      <c r="B1156" s="24" t="s">
        <v>316</v>
      </c>
      <c r="C1156" s="24">
        <v>2.1320000000000001</v>
      </c>
    </row>
    <row r="1160" spans="1:7" x14ac:dyDescent="0.3">
      <c r="B1160" s="189">
        <f>E1123-C1156*G1162</f>
        <v>-65.349541532388514</v>
      </c>
      <c r="C1160" s="196" t="s">
        <v>778</v>
      </c>
      <c r="D1160" s="189">
        <f>E1123+C1156*G1162</f>
        <v>-51.492563730769412</v>
      </c>
    </row>
    <row r="1161" spans="1:7" x14ac:dyDescent="0.3">
      <c r="C1161" s="40"/>
    </row>
    <row r="1162" spans="1:7" ht="18" x14ac:dyDescent="0.3">
      <c r="A1162"/>
      <c r="C1162" s="24" t="s">
        <v>316</v>
      </c>
      <c r="D1162" s="24">
        <f>D1133/C1116</f>
        <v>10.560941828230138</v>
      </c>
      <c r="E1162" s="24" t="s">
        <v>787</v>
      </c>
      <c r="F1162" s="24" t="s">
        <v>784</v>
      </c>
      <c r="G1162" s="24">
        <f>SQRT(D1162)</f>
        <v>3.249760272424743</v>
      </c>
    </row>
    <row r="1165" spans="1:7" x14ac:dyDescent="0.3">
      <c r="A1165" s="260" t="s">
        <v>55</v>
      </c>
      <c r="B1165" s="260"/>
      <c r="C1165" s="260"/>
      <c r="D1165" s="260"/>
      <c r="E1165" s="260"/>
      <c r="F1165" s="260"/>
      <c r="G1165" s="260"/>
    </row>
    <row r="1206" spans="1:8" ht="16.2" thickBot="1" x14ac:dyDescent="0.35"/>
    <row r="1207" spans="1:8" ht="18" thickBot="1" x14ac:dyDescent="0.35">
      <c r="A1207" s="338" t="s">
        <v>163</v>
      </c>
      <c r="B1207" s="339"/>
      <c r="C1207" s="339"/>
      <c r="D1207" s="339"/>
      <c r="E1207" s="339"/>
      <c r="F1207" s="339"/>
      <c r="G1207" s="339"/>
      <c r="H1207" s="340"/>
    </row>
    <row r="1208" spans="1:8" x14ac:dyDescent="0.3">
      <c r="A1208" s="25"/>
      <c r="B1208" s="83"/>
      <c r="C1208" s="25"/>
      <c r="E1208" s="25"/>
      <c r="F1208" s="25"/>
      <c r="G1208" s="25"/>
      <c r="H1208" s="25"/>
    </row>
    <row r="1209" spans="1:8" x14ac:dyDescent="0.3">
      <c r="A1209" s="24">
        <v>1</v>
      </c>
      <c r="B1209" s="24">
        <v>55</v>
      </c>
      <c r="C1209" s="24">
        <f t="shared" ref="C1209:C1216" si="103">(B1209-$B$569)^2</f>
        <v>244.140625</v>
      </c>
      <c r="D1209" s="24">
        <v>10</v>
      </c>
      <c r="E1209" s="24">
        <f>(D1209-$D$1218)^2</f>
        <v>47.265625</v>
      </c>
      <c r="F1209" s="24">
        <f>B1209-$B$1218</f>
        <v>-15.625</v>
      </c>
      <c r="G1209" s="24">
        <f>D1209-$D$1218</f>
        <v>-6.875</v>
      </c>
      <c r="H1209" s="24">
        <f>F1209*G1209</f>
        <v>107.421875</v>
      </c>
    </row>
    <row r="1210" spans="1:8" x14ac:dyDescent="0.3">
      <c r="A1210" s="24">
        <v>2</v>
      </c>
      <c r="B1210" s="24">
        <v>60</v>
      </c>
      <c r="C1210" s="24">
        <f t="shared" si="103"/>
        <v>112.890625</v>
      </c>
      <c r="D1210" s="24">
        <v>12</v>
      </c>
      <c r="E1210" s="24">
        <f t="shared" ref="E1210:E1216" si="104">(D1210-$D$1218)^2</f>
        <v>23.765625</v>
      </c>
      <c r="F1210" s="24">
        <f t="shared" ref="F1210:F1216" si="105">B1210-$B$1218</f>
        <v>-10.625</v>
      </c>
      <c r="G1210" s="24">
        <f t="shared" ref="G1210:G1216" si="106">D1210-$D$1218</f>
        <v>-4.875</v>
      </c>
      <c r="H1210" s="24">
        <f t="shared" ref="H1210:H1216" si="107">F1210*G1210</f>
        <v>51.796875</v>
      </c>
    </row>
    <row r="1211" spans="1:8" x14ac:dyDescent="0.3">
      <c r="A1211" s="24">
        <v>3</v>
      </c>
      <c r="B1211" s="24">
        <v>85</v>
      </c>
      <c r="C1211" s="24">
        <f t="shared" si="103"/>
        <v>206.640625</v>
      </c>
      <c r="D1211" s="24">
        <v>28</v>
      </c>
      <c r="E1211" s="24">
        <f t="shared" si="104"/>
        <v>123.765625</v>
      </c>
      <c r="F1211" s="24">
        <f t="shared" si="105"/>
        <v>14.375</v>
      </c>
      <c r="G1211" s="24">
        <f t="shared" si="106"/>
        <v>11.125</v>
      </c>
      <c r="H1211" s="24">
        <f t="shared" si="107"/>
        <v>159.921875</v>
      </c>
    </row>
    <row r="1212" spans="1:8" x14ac:dyDescent="0.3">
      <c r="A1212" s="24">
        <v>4</v>
      </c>
      <c r="B1212" s="24">
        <v>75</v>
      </c>
      <c r="C1212" s="24">
        <f t="shared" si="103"/>
        <v>19.140625</v>
      </c>
      <c r="D1212" s="24">
        <v>24</v>
      </c>
      <c r="E1212" s="24">
        <f t="shared" si="104"/>
        <v>50.765625</v>
      </c>
      <c r="F1212" s="24">
        <f t="shared" si="105"/>
        <v>4.375</v>
      </c>
      <c r="G1212" s="24">
        <f t="shared" si="106"/>
        <v>7.125</v>
      </c>
      <c r="H1212" s="24">
        <f t="shared" si="107"/>
        <v>31.171875</v>
      </c>
    </row>
    <row r="1213" spans="1:8" x14ac:dyDescent="0.3">
      <c r="A1213" s="24">
        <v>5</v>
      </c>
      <c r="B1213" s="24">
        <v>80</v>
      </c>
      <c r="C1213" s="24">
        <f t="shared" si="103"/>
        <v>87.890625</v>
      </c>
      <c r="D1213" s="24">
        <v>18</v>
      </c>
      <c r="E1213" s="24">
        <f t="shared" si="104"/>
        <v>1.265625</v>
      </c>
      <c r="F1213" s="24">
        <f t="shared" si="105"/>
        <v>9.375</v>
      </c>
      <c r="G1213" s="24">
        <f t="shared" si="106"/>
        <v>1.125</v>
      </c>
      <c r="H1213" s="24">
        <f t="shared" si="107"/>
        <v>10.546875</v>
      </c>
    </row>
    <row r="1214" spans="1:8" x14ac:dyDescent="0.3">
      <c r="A1214" s="24">
        <v>6</v>
      </c>
      <c r="B1214" s="24">
        <v>85</v>
      </c>
      <c r="C1214" s="24">
        <f t="shared" si="103"/>
        <v>206.640625</v>
      </c>
      <c r="D1214" s="24">
        <v>16</v>
      </c>
      <c r="E1214" s="24">
        <f t="shared" si="104"/>
        <v>0.765625</v>
      </c>
      <c r="F1214" s="24">
        <f t="shared" si="105"/>
        <v>14.375</v>
      </c>
      <c r="G1214" s="24">
        <f t="shared" si="106"/>
        <v>-0.875</v>
      </c>
      <c r="H1214" s="24">
        <f t="shared" si="107"/>
        <v>-12.578125</v>
      </c>
    </row>
    <row r="1215" spans="1:8" x14ac:dyDescent="0.3">
      <c r="A1215" s="24">
        <v>7</v>
      </c>
      <c r="B1215" s="24">
        <v>65</v>
      </c>
      <c r="C1215" s="24">
        <f t="shared" si="103"/>
        <v>31.640625</v>
      </c>
      <c r="D1215" s="24">
        <v>15</v>
      </c>
      <c r="E1215" s="24">
        <f t="shared" si="104"/>
        <v>3.515625</v>
      </c>
      <c r="F1215" s="24">
        <f t="shared" si="105"/>
        <v>-5.625</v>
      </c>
      <c r="G1215" s="24">
        <f t="shared" si="106"/>
        <v>-1.875</v>
      </c>
      <c r="H1215" s="24">
        <f t="shared" si="107"/>
        <v>10.546875</v>
      </c>
    </row>
    <row r="1216" spans="1:8" x14ac:dyDescent="0.3">
      <c r="A1216" s="24">
        <v>8</v>
      </c>
      <c r="B1216" s="24">
        <v>60</v>
      </c>
      <c r="C1216" s="24">
        <f t="shared" si="103"/>
        <v>112.890625</v>
      </c>
      <c r="D1216" s="24">
        <v>12</v>
      </c>
      <c r="E1216" s="24">
        <f t="shared" si="104"/>
        <v>23.765625</v>
      </c>
      <c r="F1216" s="24">
        <f t="shared" si="105"/>
        <v>-10.625</v>
      </c>
      <c r="G1216" s="24">
        <f t="shared" si="106"/>
        <v>-4.875</v>
      </c>
      <c r="H1216" s="24">
        <f t="shared" si="107"/>
        <v>51.796875</v>
      </c>
    </row>
    <row r="1217" spans="1:8" x14ac:dyDescent="0.3">
      <c r="A1217" s="24" t="s">
        <v>98</v>
      </c>
      <c r="B1217" s="24">
        <f>SUM(B1209:B1216)</f>
        <v>565</v>
      </c>
      <c r="C1217" s="24">
        <f>SUM(C1209:C1216)</f>
        <v>1021.875</v>
      </c>
      <c r="D1217" s="24">
        <f>SUM(D1209:D1216)</f>
        <v>135</v>
      </c>
      <c r="E1217" s="24">
        <f>SUM(E1209:E1216)</f>
        <v>274.875</v>
      </c>
      <c r="F1217" s="154"/>
      <c r="G1217" s="154"/>
      <c r="H1217" s="31">
        <f>SUM(H1209:H1216)</f>
        <v>410.625</v>
      </c>
    </row>
    <row r="1218" spans="1:8" x14ac:dyDescent="0.3">
      <c r="A1218" s="173" t="s">
        <v>3</v>
      </c>
      <c r="B1218" s="24">
        <f>B1217/8</f>
        <v>70.625</v>
      </c>
      <c r="D1218" s="24">
        <f>D1217/8</f>
        <v>16.875</v>
      </c>
    </row>
    <row r="1219" spans="1:8" x14ac:dyDescent="0.3">
      <c r="A1219" s="24" t="s">
        <v>134</v>
      </c>
      <c r="B1219" s="24">
        <f>VAR(B1209:B1216)</f>
        <v>145.98214285714286</v>
      </c>
      <c r="C1219" s="24">
        <f>SUM(C1209:C1216)/7</f>
        <v>145.98214285714286</v>
      </c>
      <c r="D1219" s="24">
        <f>VAR(D1209:D1216)</f>
        <v>39.267857142857146</v>
      </c>
      <c r="E1219" s="24">
        <f>SUM(E1209:E1216)/7</f>
        <v>39.267857142857146</v>
      </c>
    </row>
    <row r="1220" spans="1:8" ht="31.2" x14ac:dyDescent="0.3">
      <c r="A1220" s="24" t="s">
        <v>4</v>
      </c>
      <c r="B1220" s="24">
        <f>STDEV(B1209:B1216)</f>
        <v>12.08230701716948</v>
      </c>
      <c r="C1220" s="24">
        <f>SQRT(C1219)</f>
        <v>12.08230701716948</v>
      </c>
      <c r="D1220" s="24">
        <f>STDEV(D1209:D1216)</f>
        <v>6.2664070361617226</v>
      </c>
      <c r="E1220" s="24">
        <f t="shared" ref="E1220" si="108">SQRT(E1219)</f>
        <v>6.2664070361617226</v>
      </c>
    </row>
    <row r="1226" spans="1:8" x14ac:dyDescent="0.3">
      <c r="A1226"/>
    </row>
    <row r="1227" spans="1:8" x14ac:dyDescent="0.3">
      <c r="D1227" s="24" t="s">
        <v>316</v>
      </c>
      <c r="E1227" s="24">
        <f>H1217/C1217</f>
        <v>0.40183486238532112</v>
      </c>
    </row>
    <row r="1230" spans="1:8" ht="15.6" customHeight="1" x14ac:dyDescent="0.3">
      <c r="B1230" s="24" t="s">
        <v>316</v>
      </c>
      <c r="C1230" s="24">
        <f>D1218-E1227*B1218</f>
        <v>-11.504587155963304</v>
      </c>
    </row>
    <row r="1232" spans="1:8" x14ac:dyDescent="0.3">
      <c r="A1232" s="260" t="s">
        <v>53</v>
      </c>
      <c r="B1232" s="260"/>
      <c r="C1232" s="260"/>
      <c r="D1232" s="260"/>
      <c r="E1232" s="260"/>
      <c r="F1232" s="260"/>
      <c r="G1232" s="260"/>
    </row>
    <row r="1233" spans="1:7" x14ac:dyDescent="0.3">
      <c r="A1233"/>
      <c r="B1233" s="24" t="s">
        <v>316</v>
      </c>
      <c r="C1233" s="256" t="s">
        <v>789</v>
      </c>
      <c r="D1233" s="256"/>
      <c r="E1233" s="256"/>
      <c r="F1233" s="151"/>
    </row>
    <row r="1235" spans="1:7" x14ac:dyDescent="0.3">
      <c r="A1235"/>
    </row>
    <row r="1238" spans="1:7" ht="16.2" x14ac:dyDescent="0.3">
      <c r="B1238" s="24" t="s">
        <v>316</v>
      </c>
      <c r="C1238" s="52">
        <f>(E1227-0)/G1245</f>
        <v>2.2588904303288686</v>
      </c>
      <c r="D1238" s="24" t="s">
        <v>656</v>
      </c>
    </row>
    <row r="1240" spans="1:7" x14ac:dyDescent="0.3">
      <c r="B1240" s="24" t="s">
        <v>316</v>
      </c>
      <c r="C1240" s="24">
        <f>TINV(0.05,9)</f>
        <v>2.2621571627982053</v>
      </c>
    </row>
    <row r="1242" spans="1:7" ht="15.6" customHeight="1" x14ac:dyDescent="0.3">
      <c r="A1242" s="337" t="s">
        <v>788</v>
      </c>
      <c r="B1242" s="337"/>
      <c r="C1242" s="337"/>
      <c r="D1242" s="337"/>
      <c r="E1242" s="337"/>
      <c r="F1242" s="337"/>
      <c r="G1242" s="337"/>
    </row>
    <row r="1243" spans="1:7" x14ac:dyDescent="0.3">
      <c r="A1243" s="337"/>
      <c r="B1243" s="337"/>
      <c r="C1243" s="337"/>
      <c r="D1243" s="337"/>
      <c r="E1243" s="337"/>
      <c r="F1243" s="337"/>
      <c r="G1243" s="337"/>
    </row>
    <row r="1244" spans="1:7" x14ac:dyDescent="0.3">
      <c r="A1244"/>
    </row>
    <row r="1245" spans="1:7" ht="18" x14ac:dyDescent="0.3">
      <c r="C1245" s="24" t="s">
        <v>316</v>
      </c>
      <c r="D1245" s="24">
        <f>D1248/C1217</f>
        <v>3.164498499004012E-2</v>
      </c>
      <c r="E1245" s="24" t="s">
        <v>784</v>
      </c>
      <c r="F1245" s="24" t="s">
        <v>316</v>
      </c>
      <c r="G1245" s="24">
        <f>SQRT(D1245)</f>
        <v>0.1778903735170628</v>
      </c>
    </row>
    <row r="1248" spans="1:7" x14ac:dyDescent="0.3">
      <c r="A1248"/>
      <c r="C1248" s="24" t="s">
        <v>316</v>
      </c>
      <c r="D1248" s="24">
        <f>E1253/6</f>
        <v>32.337219036697249</v>
      </c>
    </row>
    <row r="1251" spans="1:5" x14ac:dyDescent="0.3">
      <c r="A1251"/>
    </row>
    <row r="1253" spans="1:5" ht="18.600000000000001" x14ac:dyDescent="0.3">
      <c r="A1253" s="24" t="s">
        <v>776</v>
      </c>
      <c r="B1253" s="24" t="s">
        <v>316</v>
      </c>
      <c r="C1253" s="24" t="s">
        <v>777</v>
      </c>
      <c r="D1253" s="24" t="s">
        <v>316</v>
      </c>
      <c r="E1253" s="24">
        <f>D1256*(1-D1263)</f>
        <v>194.02331422018349</v>
      </c>
    </row>
    <row r="1255" spans="1:5" x14ac:dyDescent="0.3">
      <c r="A1255"/>
    </row>
    <row r="1256" spans="1:5" x14ac:dyDescent="0.3">
      <c r="C1256" s="24" t="s">
        <v>316</v>
      </c>
      <c r="D1256" s="24">
        <f>E1217</f>
        <v>274.875</v>
      </c>
    </row>
    <row r="1260" spans="1:5" x14ac:dyDescent="0.3">
      <c r="C1260" s="24" t="s">
        <v>316</v>
      </c>
      <c r="D1260" s="24">
        <f>((1/10)*H1217)/(B1220*D1220)</f>
        <v>0.54234659585099743</v>
      </c>
    </row>
    <row r="1263" spans="1:5" ht="18.600000000000001" x14ac:dyDescent="0.3">
      <c r="A1263" s="24" t="s">
        <v>772</v>
      </c>
      <c r="C1263" s="24" t="s">
        <v>316</v>
      </c>
      <c r="D1263" s="24">
        <f>D1260^2</f>
        <v>0.29413983003116512</v>
      </c>
    </row>
    <row r="1463" spans="1:8" ht="16.2" thickBot="1" x14ac:dyDescent="0.35"/>
    <row r="1464" spans="1:8" ht="18" thickBot="1" x14ac:dyDescent="0.35">
      <c r="A1464" s="338" t="s">
        <v>333</v>
      </c>
      <c r="B1464" s="339"/>
      <c r="C1464" s="339"/>
      <c r="D1464" s="339"/>
      <c r="E1464" s="339"/>
      <c r="F1464" s="339"/>
      <c r="G1464" s="339"/>
      <c r="H1464" s="340"/>
    </row>
    <row r="1465" spans="1:8" ht="15.6" customHeight="1" x14ac:dyDescent="0.3">
      <c r="A1465" s="248" t="s">
        <v>793</v>
      </c>
      <c r="B1465" s="248"/>
      <c r="C1465" s="248" t="s">
        <v>794</v>
      </c>
      <c r="D1465" s="248"/>
      <c r="E1465" s="248"/>
      <c r="F1465" s="33"/>
    </row>
    <row r="1466" spans="1:8" x14ac:dyDescent="0.3">
      <c r="A1466" s="256" t="s">
        <v>238</v>
      </c>
      <c r="B1466" s="256"/>
      <c r="C1466" s="256" t="s">
        <v>795</v>
      </c>
      <c r="D1466" s="256"/>
      <c r="E1466" s="256"/>
    </row>
    <row r="1467" spans="1:8" x14ac:dyDescent="0.3">
      <c r="A1467"/>
      <c r="B1467" s="24" t="s">
        <v>316</v>
      </c>
      <c r="C1467" s="24">
        <v>2.31</v>
      </c>
    </row>
    <row r="1468" spans="1:8" x14ac:dyDescent="0.3">
      <c r="A1468" s="24" t="s">
        <v>791</v>
      </c>
      <c r="B1468" s="24" t="s">
        <v>316</v>
      </c>
      <c r="C1468" s="24">
        <v>-3.0000000000000001E-3</v>
      </c>
    </row>
    <row r="1469" spans="1:8" x14ac:dyDescent="0.3">
      <c r="A1469" s="24" t="s">
        <v>792</v>
      </c>
      <c r="B1469" s="24" t="s">
        <v>316</v>
      </c>
      <c r="C1469" s="24">
        <v>1.1100000000000001</v>
      </c>
    </row>
    <row r="1470" spans="1:8" x14ac:dyDescent="0.3">
      <c r="A1470" s="24" t="s">
        <v>569</v>
      </c>
      <c r="B1470" s="24" t="s">
        <v>316</v>
      </c>
      <c r="C1470" s="24">
        <v>74</v>
      </c>
    </row>
    <row r="1472" spans="1:8" x14ac:dyDescent="0.3">
      <c r="A1472"/>
    </row>
    <row r="1475" spans="1:8" x14ac:dyDescent="0.3">
      <c r="A1475"/>
      <c r="B1475" s="24" t="s">
        <v>316</v>
      </c>
      <c r="C1475" s="24">
        <f>TINV(0.6,72)</f>
        <v>0.52673023336110691</v>
      </c>
    </row>
    <row r="1477" spans="1:8" x14ac:dyDescent="0.3">
      <c r="B1477" s="24" t="s">
        <v>316</v>
      </c>
      <c r="C1477" s="24">
        <f>(C1469-0)/C1467</f>
        <v>0.48051948051948057</v>
      </c>
    </row>
    <row r="1479" spans="1:8" x14ac:dyDescent="0.3">
      <c r="A1479" s="341" t="s">
        <v>796</v>
      </c>
      <c r="B1479" s="341"/>
      <c r="C1479" s="341"/>
      <c r="D1479" s="341"/>
      <c r="E1479" s="341"/>
      <c r="F1479" s="341"/>
      <c r="G1479" s="341"/>
      <c r="H1479" s="341"/>
    </row>
    <row r="1480" spans="1:8" x14ac:dyDescent="0.3">
      <c r="A1480" s="341"/>
      <c r="B1480" s="341"/>
      <c r="C1480" s="341"/>
      <c r="D1480" s="341"/>
      <c r="E1480" s="341"/>
      <c r="F1480" s="341"/>
      <c r="G1480" s="341"/>
      <c r="H1480" s="341"/>
    </row>
    <row r="1482" spans="1:8" x14ac:dyDescent="0.3">
      <c r="A1482"/>
    </row>
    <row r="1485" spans="1:8" x14ac:dyDescent="0.3">
      <c r="A1485"/>
    </row>
    <row r="1514" spans="1:8" ht="16.2" thickBot="1" x14ac:dyDescent="0.35"/>
    <row r="1515" spans="1:8" ht="18" thickBot="1" x14ac:dyDescent="0.35">
      <c r="A1515" s="338" t="s">
        <v>341</v>
      </c>
      <c r="B1515" s="339"/>
      <c r="C1515" s="339"/>
      <c r="D1515" s="339"/>
      <c r="E1515" s="339"/>
      <c r="F1515" s="339"/>
      <c r="G1515" s="339"/>
      <c r="H1515" s="340"/>
    </row>
    <row r="1516" spans="1:8" x14ac:dyDescent="0.3">
      <c r="A1516" s="25"/>
      <c r="B1516" s="83"/>
      <c r="C1516" s="25"/>
      <c r="D1516" s="83"/>
      <c r="E1516" s="25"/>
      <c r="F1516" s="25"/>
      <c r="G1516" s="25"/>
      <c r="H1516" s="25"/>
    </row>
    <row r="1517" spans="1:8" x14ac:dyDescent="0.3">
      <c r="A1517" s="24">
        <v>1</v>
      </c>
      <c r="B1517" s="24">
        <v>5500</v>
      </c>
      <c r="C1517" s="24">
        <f>(B1517-$B$1526)^2</f>
        <v>15625</v>
      </c>
      <c r="D1517" s="24">
        <v>420</v>
      </c>
      <c r="E1517" s="24">
        <f>(D1517-$D$1526)^2</f>
        <v>225</v>
      </c>
      <c r="F1517" s="24">
        <f>B1517-$B$1526</f>
        <v>-125</v>
      </c>
      <c r="G1517" s="24">
        <f>D1517-$D$1526</f>
        <v>15</v>
      </c>
      <c r="H1517" s="24">
        <f>F1517*G1517</f>
        <v>-1875</v>
      </c>
    </row>
    <row r="1518" spans="1:8" x14ac:dyDescent="0.3">
      <c r="A1518" s="24">
        <v>2</v>
      </c>
      <c r="B1518" s="24">
        <v>6000</v>
      </c>
      <c r="C1518" s="24">
        <f t="shared" ref="C1518:C1524" si="109">(B1518-$B$1526)^2</f>
        <v>140625</v>
      </c>
      <c r="D1518" s="24">
        <v>380</v>
      </c>
      <c r="E1518" s="24">
        <f t="shared" ref="E1518:E1524" si="110">(D1518-$D$1526)^2</f>
        <v>625</v>
      </c>
      <c r="F1518" s="24">
        <f>B1518-$B$1526</f>
        <v>375</v>
      </c>
      <c r="G1518" s="24">
        <f t="shared" ref="G1518:G1524" si="111">D1518-$D$1526</f>
        <v>-25</v>
      </c>
      <c r="H1518" s="24">
        <f t="shared" ref="H1518:H1524" si="112">F1518*G1518</f>
        <v>-9375</v>
      </c>
    </row>
    <row r="1519" spans="1:8" x14ac:dyDescent="0.3">
      <c r="A1519" s="24">
        <v>3</v>
      </c>
      <c r="B1519" s="24">
        <v>6500</v>
      </c>
      <c r="C1519" s="24">
        <f t="shared" si="109"/>
        <v>765625</v>
      </c>
      <c r="D1519" s="24">
        <v>350</v>
      </c>
      <c r="E1519" s="24">
        <f t="shared" si="110"/>
        <v>3025</v>
      </c>
      <c r="F1519" s="24">
        <f t="shared" ref="F1519:F1524" si="113">B1519-$B$1526</f>
        <v>875</v>
      </c>
      <c r="G1519" s="24">
        <f t="shared" si="111"/>
        <v>-55</v>
      </c>
      <c r="H1519" s="24">
        <f t="shared" si="112"/>
        <v>-48125</v>
      </c>
    </row>
    <row r="1520" spans="1:8" x14ac:dyDescent="0.3">
      <c r="A1520" s="24">
        <v>4</v>
      </c>
      <c r="B1520" s="24">
        <v>6000</v>
      </c>
      <c r="C1520" s="24">
        <f t="shared" si="109"/>
        <v>140625</v>
      </c>
      <c r="D1520" s="24">
        <v>400</v>
      </c>
      <c r="E1520" s="24">
        <f t="shared" si="110"/>
        <v>25</v>
      </c>
      <c r="F1520" s="24">
        <f t="shared" si="113"/>
        <v>375</v>
      </c>
      <c r="G1520" s="24">
        <f t="shared" si="111"/>
        <v>-5</v>
      </c>
      <c r="H1520" s="24">
        <f t="shared" si="112"/>
        <v>-1875</v>
      </c>
    </row>
    <row r="1521" spans="1:8" x14ac:dyDescent="0.3">
      <c r="A1521" s="24">
        <v>5</v>
      </c>
      <c r="B1521" s="24">
        <v>5000</v>
      </c>
      <c r="C1521" s="24">
        <f t="shared" si="109"/>
        <v>390625</v>
      </c>
      <c r="D1521" s="24">
        <v>440</v>
      </c>
      <c r="E1521" s="24">
        <f t="shared" si="110"/>
        <v>1225</v>
      </c>
      <c r="F1521" s="24">
        <f t="shared" si="113"/>
        <v>-625</v>
      </c>
      <c r="G1521" s="24">
        <f t="shared" si="111"/>
        <v>35</v>
      </c>
      <c r="H1521" s="24">
        <f t="shared" si="112"/>
        <v>-21875</v>
      </c>
    </row>
    <row r="1522" spans="1:8" x14ac:dyDescent="0.3">
      <c r="A1522" s="24">
        <v>6</v>
      </c>
      <c r="B1522" s="24">
        <v>6500</v>
      </c>
      <c r="C1522" s="24">
        <f t="shared" si="109"/>
        <v>765625</v>
      </c>
      <c r="D1522" s="24">
        <v>380</v>
      </c>
      <c r="E1522" s="24">
        <f t="shared" si="110"/>
        <v>625</v>
      </c>
      <c r="F1522" s="24">
        <f t="shared" si="113"/>
        <v>875</v>
      </c>
      <c r="G1522" s="24">
        <f t="shared" si="111"/>
        <v>-25</v>
      </c>
      <c r="H1522" s="24">
        <f t="shared" si="112"/>
        <v>-21875</v>
      </c>
    </row>
    <row r="1523" spans="1:8" x14ac:dyDescent="0.3">
      <c r="A1523" s="24">
        <v>7</v>
      </c>
      <c r="B1523" s="24">
        <v>4500</v>
      </c>
      <c r="C1523" s="24">
        <f t="shared" si="109"/>
        <v>1265625</v>
      </c>
      <c r="D1523" s="24">
        <v>450</v>
      </c>
      <c r="E1523" s="24">
        <f t="shared" si="110"/>
        <v>2025</v>
      </c>
      <c r="F1523" s="24">
        <f t="shared" si="113"/>
        <v>-1125</v>
      </c>
      <c r="G1523" s="24">
        <f t="shared" si="111"/>
        <v>45</v>
      </c>
      <c r="H1523" s="24">
        <f t="shared" si="112"/>
        <v>-50625</v>
      </c>
    </row>
    <row r="1524" spans="1:8" x14ac:dyDescent="0.3">
      <c r="A1524" s="24">
        <v>8</v>
      </c>
      <c r="B1524" s="24">
        <v>5000</v>
      </c>
      <c r="C1524" s="24">
        <f t="shared" si="109"/>
        <v>390625</v>
      </c>
      <c r="D1524" s="24">
        <v>420</v>
      </c>
      <c r="E1524" s="24">
        <f t="shared" si="110"/>
        <v>225</v>
      </c>
      <c r="F1524" s="24">
        <f t="shared" si="113"/>
        <v>-625</v>
      </c>
      <c r="G1524" s="24">
        <f t="shared" si="111"/>
        <v>15</v>
      </c>
      <c r="H1524" s="24">
        <f t="shared" si="112"/>
        <v>-9375</v>
      </c>
    </row>
    <row r="1525" spans="1:8" x14ac:dyDescent="0.3">
      <c r="A1525" s="24" t="s">
        <v>98</v>
      </c>
      <c r="B1525" s="24">
        <f>SUM(B1517:B1524)</f>
        <v>45000</v>
      </c>
      <c r="C1525" s="24">
        <f>SUM(C1517:C1524)</f>
        <v>3875000</v>
      </c>
      <c r="D1525" s="24">
        <f>SUM(D1517:D1524)</f>
        <v>3240</v>
      </c>
      <c r="E1525" s="24">
        <f>SUM(E1517:E1524)</f>
        <v>8000</v>
      </c>
      <c r="F1525" s="154"/>
      <c r="G1525" s="154"/>
      <c r="H1525" s="31">
        <f>SUM(H1517:H1524)</f>
        <v>-165000</v>
      </c>
    </row>
    <row r="1526" spans="1:8" x14ac:dyDescent="0.3">
      <c r="A1526" s="173" t="s">
        <v>3</v>
      </c>
      <c r="B1526" s="24">
        <f>B1525/8</f>
        <v>5625</v>
      </c>
      <c r="D1526" s="24">
        <f>D1525/8</f>
        <v>405</v>
      </c>
    </row>
    <row r="1527" spans="1:8" x14ac:dyDescent="0.3">
      <c r="A1527" s="24" t="s">
        <v>134</v>
      </c>
      <c r="B1527" s="24">
        <f>VAR(B1517:B1524)</f>
        <v>553571.42857142852</v>
      </c>
      <c r="C1527" s="24">
        <f>SUM(C1517:C1524)/7</f>
        <v>553571.42857142852</v>
      </c>
      <c r="D1527" s="24">
        <f>VAR(D1517:D1524)</f>
        <v>1142.8571428571429</v>
      </c>
      <c r="E1527" s="24">
        <f>SUM(E1517:E1524)/7</f>
        <v>1142.8571428571429</v>
      </c>
    </row>
    <row r="1528" spans="1:8" ht="31.2" x14ac:dyDescent="0.3">
      <c r="A1528" s="24" t="s">
        <v>4</v>
      </c>
      <c r="B1528" s="24">
        <f>STDEV(B1517:B1524)</f>
        <v>744.02380914284493</v>
      </c>
      <c r="C1528" s="24">
        <f>SQRT(C1527)</f>
        <v>744.02380914284493</v>
      </c>
      <c r="D1528" s="24">
        <f>STDEV(D1517:D1524)</f>
        <v>33.806170189140666</v>
      </c>
      <c r="E1528" s="24">
        <f t="shared" ref="E1528" si="114">SQRT(E1527)</f>
        <v>33.806170189140666</v>
      </c>
    </row>
    <row r="1530" spans="1:8" x14ac:dyDescent="0.3">
      <c r="A1530"/>
    </row>
    <row r="1531" spans="1:8" x14ac:dyDescent="0.3">
      <c r="D1531" s="24" t="s">
        <v>316</v>
      </c>
      <c r="E1531" s="24">
        <f>H1525/C1525</f>
        <v>-4.2580645161290322E-2</v>
      </c>
    </row>
    <row r="1534" spans="1:8" x14ac:dyDescent="0.3">
      <c r="B1534" s="24" t="s">
        <v>316</v>
      </c>
      <c r="C1534" s="24">
        <f>D1526-E1531*B1526</f>
        <v>644.51612903225805</v>
      </c>
    </row>
    <row r="1537" spans="1:8" ht="15.6" customHeight="1" x14ac:dyDescent="0.3">
      <c r="A1537"/>
      <c r="B1537" s="24" t="s">
        <v>316</v>
      </c>
      <c r="C1537" s="256" t="s">
        <v>801</v>
      </c>
      <c r="D1537" s="256"/>
      <c r="E1537" s="256"/>
      <c r="F1537" s="151"/>
    </row>
    <row r="1539" spans="1:8" x14ac:dyDescent="0.3">
      <c r="A1539" s="260" t="s">
        <v>53</v>
      </c>
      <c r="B1539" s="260"/>
      <c r="C1539" s="260"/>
      <c r="D1539" s="260"/>
      <c r="E1539" s="260"/>
      <c r="F1539" s="260"/>
      <c r="G1539" s="260"/>
      <c r="H1539" s="260"/>
    </row>
    <row r="1541" spans="1:8" ht="15.6" customHeight="1" x14ac:dyDescent="0.3">
      <c r="A1541" s="256" t="s">
        <v>801</v>
      </c>
      <c r="B1541" s="256"/>
      <c r="C1541" s="256"/>
      <c r="D1541" s="24" t="s">
        <v>787</v>
      </c>
      <c r="E1541" s="24" t="s">
        <v>790</v>
      </c>
      <c r="F1541" s="24" t="s">
        <v>316</v>
      </c>
      <c r="G1541" s="62">
        <f>C1534+E1531*4800</f>
        <v>440.12903225806451</v>
      </c>
    </row>
    <row r="1543" spans="1:8" x14ac:dyDescent="0.3">
      <c r="A1543" s="260" t="s">
        <v>54</v>
      </c>
      <c r="B1543" s="260"/>
      <c r="C1543" s="260"/>
      <c r="D1543" s="260"/>
      <c r="E1543" s="260"/>
      <c r="F1543" s="260"/>
      <c r="G1543" s="260"/>
      <c r="H1543" s="260"/>
    </row>
    <row r="1545" spans="1:8" ht="31.2" x14ac:dyDescent="0.3">
      <c r="A1545" s="24" t="s">
        <v>799</v>
      </c>
    </row>
    <row r="1546" spans="1:8" x14ac:dyDescent="0.3">
      <c r="A1546"/>
    </row>
    <row r="1548" spans="1:8" x14ac:dyDescent="0.3">
      <c r="A1548" s="24" t="s">
        <v>800</v>
      </c>
    </row>
    <row r="1552" spans="1:8" ht="18" x14ac:dyDescent="0.3">
      <c r="A1552" s="337" t="s">
        <v>799</v>
      </c>
      <c r="B1552" s="337"/>
      <c r="C1552" s="337"/>
      <c r="D1552" s="62">
        <f>G1541-F1556*SQRT(1+(1/8)+((4800-B1526)^2)/C1525)</f>
        <v>436.74336885355359</v>
      </c>
      <c r="E1552" s="197" t="s">
        <v>802</v>
      </c>
      <c r="F1552" s="62">
        <f>G1541+F1556*SQRT(1+(1/8)+((4800-B1526)^2)/C1525)</f>
        <v>443.51469566257543</v>
      </c>
    </row>
    <row r="1553" spans="1:6" x14ac:dyDescent="0.3">
      <c r="E1553" s="25"/>
    </row>
    <row r="1554" spans="1:6" ht="18" x14ac:dyDescent="0.3">
      <c r="A1554" s="337" t="s">
        <v>800</v>
      </c>
      <c r="B1554" s="337"/>
      <c r="C1554" s="337"/>
      <c r="D1554" s="62">
        <f>G1541-F1556*SQRT((1/8)+((4800-B1526)^2)/C1525)</f>
        <v>438.50126812896769</v>
      </c>
      <c r="E1554" s="197" t="s">
        <v>802</v>
      </c>
      <c r="F1554" s="62">
        <f>G1541+F1556*SQRT((1/8)+((4800-B1526)^2)/C1525)</f>
        <v>441.75679638716133</v>
      </c>
    </row>
    <row r="1556" spans="1:6" x14ac:dyDescent="0.3">
      <c r="E1556" s="24" t="s">
        <v>316</v>
      </c>
      <c r="F1556" s="24">
        <f>TINV(0.025,6)</f>
        <v>2.9686866841534614</v>
      </c>
    </row>
    <row r="1588" spans="1:8" ht="16.2" thickBot="1" x14ac:dyDescent="0.35"/>
    <row r="1589" spans="1:8" ht="18" thickBot="1" x14ac:dyDescent="0.35">
      <c r="A1589" s="338" t="s">
        <v>343</v>
      </c>
      <c r="B1589" s="339"/>
      <c r="C1589" s="339"/>
      <c r="D1589" s="339"/>
      <c r="E1589" s="339"/>
      <c r="F1589" s="339"/>
      <c r="G1589" s="339"/>
      <c r="H1589" s="340"/>
    </row>
    <row r="1590" spans="1:8" x14ac:dyDescent="0.3">
      <c r="A1590" s="25"/>
      <c r="B1590" s="83"/>
      <c r="C1590" s="25"/>
      <c r="E1590" s="25"/>
      <c r="F1590" s="25"/>
      <c r="G1590" s="25"/>
      <c r="H1590" s="25"/>
    </row>
    <row r="1591" spans="1:8" x14ac:dyDescent="0.3">
      <c r="A1591" s="24">
        <v>1</v>
      </c>
      <c r="B1591" s="24">
        <v>-0.2</v>
      </c>
      <c r="C1591" s="24">
        <f>(B1591-$B$501)^2</f>
        <v>0.15999999999999992</v>
      </c>
      <c r="D1591" s="24">
        <v>0.2</v>
      </c>
      <c r="E1591" s="24">
        <f>(D1591-$D$501)^2</f>
        <v>4.0000000000000008E-2</v>
      </c>
      <c r="F1591" s="24">
        <f>B1591-$B$501</f>
        <v>-0.39999999999999991</v>
      </c>
      <c r="G1591" s="24">
        <f>D1591-$D$501</f>
        <v>0.2</v>
      </c>
      <c r="H1591" s="24">
        <f>F1591*G1591</f>
        <v>-7.9999999999999988E-2</v>
      </c>
    </row>
    <row r="1592" spans="1:8" x14ac:dyDescent="0.3">
      <c r="A1592" s="24">
        <v>2</v>
      </c>
      <c r="B1592" s="24">
        <v>-0.1</v>
      </c>
      <c r="C1592" s="24">
        <f t="shared" ref="C1592:C1601" si="115">(B1592-$B$501)^2</f>
        <v>8.9999999999999955E-2</v>
      </c>
      <c r="D1592" s="24">
        <v>0.2</v>
      </c>
      <c r="E1592" s="24">
        <f t="shared" ref="E1592:E1601" si="116">(D1592-$D$501)^2</f>
        <v>4.0000000000000008E-2</v>
      </c>
      <c r="F1592" s="24">
        <f t="shared" ref="F1592:F1601" si="117">B1592-$B$501</f>
        <v>-0.29999999999999993</v>
      </c>
      <c r="G1592" s="24">
        <f t="shared" ref="G1592:G1601" si="118">D1592-$D$501</f>
        <v>0.2</v>
      </c>
      <c r="H1592" s="24">
        <f t="shared" ref="H1592:H1601" si="119">F1592*G1592</f>
        <v>-5.9999999999999991E-2</v>
      </c>
    </row>
    <row r="1593" spans="1:8" x14ac:dyDescent="0.3">
      <c r="A1593" s="24">
        <v>3</v>
      </c>
      <c r="B1593" s="24">
        <v>1.4</v>
      </c>
      <c r="C1593" s="24">
        <f t="shared" si="115"/>
        <v>1.44</v>
      </c>
      <c r="D1593" s="24">
        <v>0.2</v>
      </c>
      <c r="E1593" s="24">
        <f t="shared" si="116"/>
        <v>4.0000000000000008E-2</v>
      </c>
      <c r="F1593" s="24">
        <f t="shared" si="117"/>
        <v>1.2</v>
      </c>
      <c r="G1593" s="24">
        <f t="shared" si="118"/>
        <v>0.2</v>
      </c>
      <c r="H1593" s="24">
        <f t="shared" si="119"/>
        <v>0.24</v>
      </c>
    </row>
    <row r="1594" spans="1:8" x14ac:dyDescent="0.3">
      <c r="A1594" s="24">
        <v>4</v>
      </c>
      <c r="B1594" s="24">
        <v>1</v>
      </c>
      <c r="C1594" s="24">
        <f t="shared" si="115"/>
        <v>0.64000000000000012</v>
      </c>
      <c r="D1594" s="24">
        <v>-0.4</v>
      </c>
      <c r="E1594" s="24">
        <f t="shared" si="116"/>
        <v>0.16000000000000003</v>
      </c>
      <c r="F1594" s="24">
        <f t="shared" si="117"/>
        <v>0.8</v>
      </c>
      <c r="G1594" s="24">
        <f t="shared" si="118"/>
        <v>-0.4</v>
      </c>
      <c r="H1594" s="24">
        <f t="shared" si="119"/>
        <v>-0.32000000000000006</v>
      </c>
    </row>
    <row r="1595" spans="1:8" x14ac:dyDescent="0.3">
      <c r="A1595" s="24">
        <v>5</v>
      </c>
      <c r="B1595" s="24">
        <v>-0.3</v>
      </c>
      <c r="C1595" s="24">
        <f t="shared" si="115"/>
        <v>0.24999999999999989</v>
      </c>
      <c r="D1595" s="24">
        <v>-0.1</v>
      </c>
      <c r="E1595" s="24">
        <f t="shared" si="116"/>
        <v>1.0000000000000002E-2</v>
      </c>
      <c r="F1595" s="24">
        <f t="shared" si="117"/>
        <v>-0.49999999999999989</v>
      </c>
      <c r="G1595" s="24">
        <f t="shared" si="118"/>
        <v>-0.1</v>
      </c>
      <c r="H1595" s="24">
        <f t="shared" si="119"/>
        <v>4.9999999999999989E-2</v>
      </c>
    </row>
    <row r="1596" spans="1:8" x14ac:dyDescent="0.3">
      <c r="A1596" s="24">
        <v>6</v>
      </c>
      <c r="B1596" s="24">
        <v>-0.7</v>
      </c>
      <c r="C1596" s="24">
        <f t="shared" si="115"/>
        <v>0.80999999999999983</v>
      </c>
      <c r="D1596" s="24">
        <v>0.2</v>
      </c>
      <c r="E1596" s="24">
        <f t="shared" si="116"/>
        <v>4.0000000000000008E-2</v>
      </c>
      <c r="F1596" s="24">
        <f t="shared" si="117"/>
        <v>-0.89999999999999991</v>
      </c>
      <c r="G1596" s="24">
        <f t="shared" si="118"/>
        <v>0.2</v>
      </c>
      <c r="H1596" s="24">
        <f t="shared" si="119"/>
        <v>-0.18</v>
      </c>
    </row>
    <row r="1597" spans="1:8" x14ac:dyDescent="0.3">
      <c r="A1597" s="24">
        <v>7</v>
      </c>
      <c r="B1597" s="24">
        <v>0.7</v>
      </c>
      <c r="C1597" s="24">
        <f t="shared" si="115"/>
        <v>0.25</v>
      </c>
      <c r="D1597" s="24">
        <v>-0.1</v>
      </c>
      <c r="E1597" s="24">
        <f t="shared" si="116"/>
        <v>1.0000000000000002E-2</v>
      </c>
      <c r="F1597" s="24">
        <f t="shared" si="117"/>
        <v>0.5</v>
      </c>
      <c r="G1597" s="24">
        <f t="shared" si="118"/>
        <v>-0.1</v>
      </c>
      <c r="H1597" s="24">
        <f t="shared" si="119"/>
        <v>-0.05</v>
      </c>
    </row>
    <row r="1598" spans="1:8" x14ac:dyDescent="0.3">
      <c r="A1598" s="24">
        <v>8</v>
      </c>
      <c r="B1598" s="24">
        <v>2.9</v>
      </c>
      <c r="C1598" s="24">
        <f t="shared" si="115"/>
        <v>7.2900000000000009</v>
      </c>
      <c r="D1598" s="24">
        <v>-0.8</v>
      </c>
      <c r="E1598" s="24">
        <f t="shared" si="116"/>
        <v>0.64000000000000012</v>
      </c>
      <c r="F1598" s="24">
        <f t="shared" si="117"/>
        <v>2.7</v>
      </c>
      <c r="G1598" s="24">
        <f t="shared" si="118"/>
        <v>-0.8</v>
      </c>
      <c r="H1598" s="24">
        <f t="shared" si="119"/>
        <v>-2.16</v>
      </c>
    </row>
    <row r="1599" spans="1:8" x14ac:dyDescent="0.3">
      <c r="A1599" s="24">
        <v>9</v>
      </c>
      <c r="B1599" s="24">
        <v>-0.8</v>
      </c>
      <c r="C1599" s="24">
        <f t="shared" si="115"/>
        <v>1</v>
      </c>
      <c r="D1599" s="24">
        <v>0.2</v>
      </c>
      <c r="E1599" s="24">
        <f t="shared" si="116"/>
        <v>4.0000000000000008E-2</v>
      </c>
      <c r="F1599" s="24">
        <f t="shared" si="117"/>
        <v>-1</v>
      </c>
      <c r="G1599" s="24">
        <f t="shared" si="118"/>
        <v>0.2</v>
      </c>
      <c r="H1599" s="24">
        <f t="shared" si="119"/>
        <v>-0.2</v>
      </c>
    </row>
    <row r="1600" spans="1:8" x14ac:dyDescent="0.3">
      <c r="A1600" s="24">
        <v>10</v>
      </c>
      <c r="B1600" s="24">
        <v>-0.7</v>
      </c>
      <c r="C1600" s="24">
        <f t="shared" si="115"/>
        <v>0.80999999999999983</v>
      </c>
      <c r="D1600" s="24">
        <v>0.2</v>
      </c>
      <c r="E1600" s="24">
        <f t="shared" si="116"/>
        <v>4.0000000000000008E-2</v>
      </c>
      <c r="F1600" s="24">
        <f t="shared" si="117"/>
        <v>-0.89999999999999991</v>
      </c>
      <c r="G1600" s="24">
        <f t="shared" si="118"/>
        <v>0.2</v>
      </c>
      <c r="H1600" s="24">
        <f t="shared" si="119"/>
        <v>-0.18</v>
      </c>
    </row>
    <row r="1601" spans="1:8" x14ac:dyDescent="0.3">
      <c r="A1601" s="24">
        <v>11</v>
      </c>
      <c r="B1601" s="24">
        <v>-1</v>
      </c>
      <c r="C1601" s="24">
        <f t="shared" si="115"/>
        <v>1.44</v>
      </c>
      <c r="D1601" s="24">
        <v>0.2</v>
      </c>
      <c r="E1601" s="24">
        <f t="shared" si="116"/>
        <v>4.0000000000000008E-2</v>
      </c>
      <c r="F1601" s="24">
        <f t="shared" si="117"/>
        <v>-1.2</v>
      </c>
      <c r="G1601" s="24">
        <f t="shared" si="118"/>
        <v>0.2</v>
      </c>
      <c r="H1601" s="24">
        <f t="shared" si="119"/>
        <v>-0.24</v>
      </c>
    </row>
    <row r="1602" spans="1:8" x14ac:dyDescent="0.3">
      <c r="A1602" s="24" t="s">
        <v>98</v>
      </c>
      <c r="B1602" s="24">
        <f>SUM(B1591:B1601)</f>
        <v>2.1999999999999993</v>
      </c>
      <c r="C1602" s="24">
        <f>SUM(C1591:C1601)</f>
        <v>14.18</v>
      </c>
      <c r="D1602" s="24">
        <f>SUM(D1591:D1601)</f>
        <v>0</v>
      </c>
      <c r="E1602" s="24">
        <f>SUM(E1591:E1601)</f>
        <v>1.1000000000000003</v>
      </c>
      <c r="F1602" s="154"/>
      <c r="G1602" s="154"/>
      <c r="H1602" s="31">
        <f>SUM(H1591:H1601)</f>
        <v>-3.1800000000000006</v>
      </c>
    </row>
    <row r="1603" spans="1:8" x14ac:dyDescent="0.3">
      <c r="A1603" s="173" t="s">
        <v>3</v>
      </c>
      <c r="B1603" s="24">
        <f>B1602/11</f>
        <v>0.19999999999999993</v>
      </c>
      <c r="D1603" s="24">
        <f>D1602/11</f>
        <v>0</v>
      </c>
    </row>
    <row r="1604" spans="1:8" x14ac:dyDescent="0.3">
      <c r="A1604" s="24" t="s">
        <v>134</v>
      </c>
      <c r="B1604" s="24">
        <f>VAR(B1591:B1601)</f>
        <v>1.4179999999999999</v>
      </c>
      <c r="C1604" s="24">
        <f>SUM(C1591:C1601)/10</f>
        <v>1.4179999999999999</v>
      </c>
      <c r="D1604" s="24">
        <f>VAR(D1591:D1601)</f>
        <v>0.11000000000000003</v>
      </c>
      <c r="E1604" s="24">
        <f>SUM(E1591:E1601)/10</f>
        <v>0.11000000000000003</v>
      </c>
    </row>
    <row r="1605" spans="1:8" ht="31.2" x14ac:dyDescent="0.3">
      <c r="A1605" s="24" t="s">
        <v>4</v>
      </c>
      <c r="B1605" s="24">
        <f>STDEV(B1591:B1601)</f>
        <v>1.1907980517283356</v>
      </c>
      <c r="C1605" s="24">
        <f>SQRT(C1604)</f>
        <v>1.1907980517283356</v>
      </c>
      <c r="D1605" s="24">
        <f>STDEV(D1591:D1601)</f>
        <v>0.33166247903554003</v>
      </c>
      <c r="E1605" s="24">
        <f t="shared" ref="E1605" si="120">SQRT(E1604)</f>
        <v>0.33166247903554003</v>
      </c>
    </row>
    <row r="1607" spans="1:8" x14ac:dyDescent="0.3">
      <c r="A1607"/>
    </row>
    <row r="1608" spans="1:8" x14ac:dyDescent="0.3">
      <c r="D1608" s="24" t="s">
        <v>316</v>
      </c>
      <c r="E1608" s="24">
        <f>H1602/C1602</f>
        <v>-0.22425952045133996</v>
      </c>
    </row>
    <row r="1611" spans="1:8" x14ac:dyDescent="0.3">
      <c r="B1611" s="24" t="s">
        <v>316</v>
      </c>
      <c r="C1611" s="24">
        <f>D1603-E1608*B1603</f>
        <v>4.4851904090267972E-2</v>
      </c>
    </row>
    <row r="1613" spans="1:8" x14ac:dyDescent="0.3">
      <c r="C1613" s="260" t="s">
        <v>53</v>
      </c>
      <c r="D1613" s="260"/>
      <c r="E1613" s="260"/>
    </row>
    <row r="1614" spans="1:8" x14ac:dyDescent="0.3">
      <c r="A1614"/>
      <c r="B1614" s="24" t="s">
        <v>316</v>
      </c>
      <c r="C1614" s="256" t="s">
        <v>768</v>
      </c>
      <c r="D1614" s="256"/>
      <c r="E1614" s="256"/>
      <c r="F1614" s="151"/>
    </row>
    <row r="1616" spans="1:8" x14ac:dyDescent="0.3">
      <c r="A1616" s="260" t="s">
        <v>54</v>
      </c>
      <c r="B1616" s="260"/>
      <c r="C1616" s="260"/>
      <c r="D1616" s="260"/>
      <c r="E1616" s="260"/>
      <c r="F1616" s="260"/>
      <c r="G1616" s="260"/>
      <c r="H1616" s="260"/>
    </row>
    <row r="1617" spans="1:8" x14ac:dyDescent="0.3">
      <c r="A1617" s="337" t="s">
        <v>803</v>
      </c>
      <c r="B1617" s="337"/>
      <c r="C1617" s="337"/>
      <c r="D1617" s="337"/>
      <c r="E1617" s="337"/>
      <c r="F1617" s="337"/>
      <c r="G1617" s="337"/>
      <c r="H1617" s="337"/>
    </row>
    <row r="1618" spans="1:8" x14ac:dyDescent="0.3">
      <c r="A1618" s="337"/>
      <c r="B1618" s="337"/>
      <c r="C1618" s="337"/>
      <c r="D1618" s="337"/>
      <c r="E1618" s="337"/>
      <c r="F1618" s="337"/>
      <c r="G1618" s="337"/>
      <c r="H1618" s="337"/>
    </row>
    <row r="1619" spans="1:8" x14ac:dyDescent="0.3">
      <c r="A1619" s="337"/>
      <c r="B1619" s="337"/>
      <c r="C1619" s="337"/>
      <c r="D1619" s="337"/>
      <c r="E1619" s="337"/>
      <c r="F1619" s="337"/>
      <c r="G1619" s="337"/>
      <c r="H1619" s="337"/>
    </row>
    <row r="1621" spans="1:8" ht="31.2" x14ac:dyDescent="0.3">
      <c r="A1621" s="24" t="s">
        <v>799</v>
      </c>
    </row>
    <row r="1622" spans="1:8" x14ac:dyDescent="0.3">
      <c r="A1622"/>
    </row>
    <row r="1624" spans="1:8" x14ac:dyDescent="0.3">
      <c r="A1624" s="24" t="s">
        <v>800</v>
      </c>
    </row>
    <row r="1628" spans="1:8" ht="18" x14ac:dyDescent="0.3">
      <c r="A1628" s="337" t="s">
        <v>799</v>
      </c>
      <c r="B1628" s="337"/>
      <c r="C1628" s="337"/>
      <c r="D1628" s="62">
        <f>G1617-F1632*SQRT(1+(1/8)+((4800-B1602)^2)/C1601)</f>
        <v>-11869.304562022551</v>
      </c>
      <c r="E1628" s="197" t="s">
        <v>802</v>
      </c>
      <c r="F1628" s="62">
        <f>G1617+F1632*SQRT(1+(1/8)+((4800-B1602)^2)/C1601)</f>
        <v>11869.304562022551</v>
      </c>
    </row>
    <row r="1629" spans="1:8" x14ac:dyDescent="0.3">
      <c r="E1629" s="25"/>
    </row>
    <row r="1630" spans="1:8" ht="18" x14ac:dyDescent="0.3">
      <c r="A1630" s="337" t="s">
        <v>800</v>
      </c>
      <c r="B1630" s="337"/>
      <c r="C1630" s="337"/>
      <c r="D1630" s="62">
        <f>G1617-F1632*SQRT((1/8)+((4800-B1602)^2)/C1601)</f>
        <v>-11869.304190766565</v>
      </c>
      <c r="E1630" s="197" t="s">
        <v>802</v>
      </c>
      <c r="F1630" s="62">
        <f>G1617+F1632*SQRT((1/8)+((4800-B1602)^2)/C1601)</f>
        <v>11869.304190766565</v>
      </c>
    </row>
    <row r="1632" spans="1:8" x14ac:dyDescent="0.3">
      <c r="E1632" s="24" t="s">
        <v>316</v>
      </c>
      <c r="F1632" s="24">
        <f>TINV(0.025,6)</f>
        <v>2.9686866841534614</v>
      </c>
    </row>
    <row r="1633" s="24" customFormat="1" x14ac:dyDescent="0.3"/>
  </sheetData>
  <autoFilter ref="A269:E269" xr:uid="{00000000-0009-0000-0000-000009000000}">
    <sortState xmlns:xlrd2="http://schemas.microsoft.com/office/spreadsheetml/2017/richdata2" ref="A270:E286">
      <sortCondition ref="A269"/>
    </sortState>
  </autoFilter>
  <mergeCells count="89">
    <mergeCell ref="A873:G873"/>
    <mergeCell ref="A882:G882"/>
    <mergeCell ref="A810:J810"/>
    <mergeCell ref="A839:H839"/>
    <mergeCell ref="A863:B863"/>
    <mergeCell ref="A862:G862"/>
    <mergeCell ref="A865:G865"/>
    <mergeCell ref="A766:H766"/>
    <mergeCell ref="C837:E837"/>
    <mergeCell ref="C580:E580"/>
    <mergeCell ref="A582:H582"/>
    <mergeCell ref="A583:H585"/>
    <mergeCell ref="A761:H761"/>
    <mergeCell ref="A514:H514"/>
    <mergeCell ref="A515:H517"/>
    <mergeCell ref="A558:H558"/>
    <mergeCell ref="C579:E579"/>
    <mergeCell ref="A453:H454"/>
    <mergeCell ref="A487:H487"/>
    <mergeCell ref="C511:E511"/>
    <mergeCell ref="C512:E512"/>
    <mergeCell ref="A168:H168"/>
    <mergeCell ref="A452:H452"/>
    <mergeCell ref="C449:E449"/>
    <mergeCell ref="C450:E450"/>
    <mergeCell ref="A267:H268"/>
    <mergeCell ref="A296:H296"/>
    <mergeCell ref="A361:H361"/>
    <mergeCell ref="A393:H393"/>
    <mergeCell ref="A395:H395"/>
    <mergeCell ref="C416:E416"/>
    <mergeCell ref="C417:E417"/>
    <mergeCell ref="A419:H419"/>
    <mergeCell ref="A420:H421"/>
    <mergeCell ref="A423:H423"/>
    <mergeCell ref="A927:J927"/>
    <mergeCell ref="C950:E950"/>
    <mergeCell ref="A952:H952"/>
    <mergeCell ref="A1:H1"/>
    <mergeCell ref="A40:H40"/>
    <mergeCell ref="A72:H73"/>
    <mergeCell ref="A75:H75"/>
    <mergeCell ref="A194:H195"/>
    <mergeCell ref="A206:H207"/>
    <mergeCell ref="J179:K191"/>
    <mergeCell ref="A209:H209"/>
    <mergeCell ref="A231:H231"/>
    <mergeCell ref="A111:H112"/>
    <mergeCell ref="A134:H134"/>
    <mergeCell ref="A147:H148"/>
    <mergeCell ref="A150:H150"/>
    <mergeCell ref="E964:G964"/>
    <mergeCell ref="A1020:H1020"/>
    <mergeCell ref="C1044:E1044"/>
    <mergeCell ref="C1045:E1045"/>
    <mergeCell ref="A1054:G1054"/>
    <mergeCell ref="A975:G975"/>
    <mergeCell ref="E967:G967"/>
    <mergeCell ref="A1109:J1109"/>
    <mergeCell ref="C1129:E1129"/>
    <mergeCell ref="A1131:H1131"/>
    <mergeCell ref="E1143:G1143"/>
    <mergeCell ref="E1146:G1146"/>
    <mergeCell ref="C1233:E1233"/>
    <mergeCell ref="A1232:G1232"/>
    <mergeCell ref="A1242:G1243"/>
    <mergeCell ref="A1154:G1154"/>
    <mergeCell ref="A1165:G1165"/>
    <mergeCell ref="A1207:H1207"/>
    <mergeCell ref="A1466:B1466"/>
    <mergeCell ref="C1466:E1466"/>
    <mergeCell ref="A1479:H1480"/>
    <mergeCell ref="A1515:H1515"/>
    <mergeCell ref="A1464:H1464"/>
    <mergeCell ref="A1465:B1465"/>
    <mergeCell ref="C1465:E1465"/>
    <mergeCell ref="A1552:C1552"/>
    <mergeCell ref="A1554:C1554"/>
    <mergeCell ref="A1589:H1589"/>
    <mergeCell ref="C1613:E1613"/>
    <mergeCell ref="C1537:E1537"/>
    <mergeCell ref="A1541:C1541"/>
    <mergeCell ref="A1539:H1539"/>
    <mergeCell ref="A1543:H1543"/>
    <mergeCell ref="C1614:E1614"/>
    <mergeCell ref="A1616:H1616"/>
    <mergeCell ref="A1617:H1619"/>
    <mergeCell ref="A1628:C1628"/>
    <mergeCell ref="A1630:C163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9"/>
  <sheetViews>
    <sheetView zoomScale="115" zoomScaleNormal="115" workbookViewId="0">
      <selection activeCell="J7" sqref="J7"/>
    </sheetView>
  </sheetViews>
  <sheetFormatPr defaultColWidth="9.109375" defaultRowHeight="13.8" x14ac:dyDescent="0.3"/>
  <cols>
    <col min="1" max="1" width="12.6640625" style="1" customWidth="1"/>
    <col min="2" max="2" width="10.6640625" style="1" customWidth="1"/>
    <col min="3" max="3" width="10" style="1" customWidth="1"/>
    <col min="4" max="4" width="10.44140625" style="1" customWidth="1"/>
    <col min="5" max="5" width="10.33203125" style="1" customWidth="1"/>
    <col min="6" max="6" width="9.88671875" style="1" customWidth="1"/>
    <col min="7" max="7" width="10.33203125" style="1" customWidth="1"/>
    <col min="8" max="8" width="10.44140625" style="1" customWidth="1"/>
    <col min="9" max="9" width="11.44140625" style="1" bestFit="1" customWidth="1"/>
    <col min="10" max="16384" width="9.109375" style="1"/>
  </cols>
  <sheetData>
    <row r="1" spans="1:18" ht="18" thickBot="1" x14ac:dyDescent="0.35">
      <c r="A1" s="345" t="s">
        <v>816</v>
      </c>
      <c r="B1" s="346"/>
      <c r="C1" s="346"/>
      <c r="D1" s="346"/>
      <c r="E1" s="346"/>
      <c r="F1" s="346"/>
      <c r="G1" s="346"/>
      <c r="H1" s="347"/>
    </row>
    <row r="2" spans="1:18" s="5" customFormat="1" ht="16.2" x14ac:dyDescent="0.3">
      <c r="B2" s="5" t="s">
        <v>817</v>
      </c>
      <c r="C2" s="5" t="s">
        <v>818</v>
      </c>
      <c r="D2" s="5" t="s">
        <v>790</v>
      </c>
      <c r="H2"/>
      <c r="I2"/>
    </row>
    <row r="3" spans="1:18" x14ac:dyDescent="0.3">
      <c r="A3" s="1">
        <v>1</v>
      </c>
      <c r="B3" s="1">
        <v>3.92</v>
      </c>
      <c r="C3" s="1">
        <v>7.298</v>
      </c>
      <c r="D3" s="1">
        <v>0.75</v>
      </c>
      <c r="N3" s="1">
        <f t="shared" ref="N3:N28" si="0">B3-$B$28</f>
        <v>6.6400000000000237E-2</v>
      </c>
      <c r="O3" s="1">
        <f t="shared" ref="O3:O28" si="1">C3-$C$28</f>
        <v>5.4679999999999396E-2</v>
      </c>
      <c r="P3" s="1">
        <f t="shared" ref="P3:P28" si="2">D3-$D$28</f>
        <v>7.5600000000000001E-2</v>
      </c>
      <c r="Q3" s="1">
        <f>N3^2</f>
        <v>4.4089600000000312E-3</v>
      </c>
      <c r="R3" s="1">
        <f>O3*O3</f>
        <v>2.9899023999999338E-3</v>
      </c>
    </row>
    <row r="4" spans="1:18" x14ac:dyDescent="0.3">
      <c r="A4" s="1">
        <v>2</v>
      </c>
      <c r="B4" s="1">
        <v>3.61</v>
      </c>
      <c r="C4" s="1">
        <v>6.8550000000000004</v>
      </c>
      <c r="D4" s="1">
        <v>0.71</v>
      </c>
      <c r="N4" s="1">
        <f t="shared" si="0"/>
        <v>-0.24359999999999982</v>
      </c>
      <c r="O4" s="1">
        <f t="shared" si="1"/>
        <v>-0.38832000000000022</v>
      </c>
      <c r="P4" s="1">
        <f t="shared" si="2"/>
        <v>3.5599999999999965E-2</v>
      </c>
      <c r="Q4" s="1">
        <f t="shared" ref="Q4:Q28" si="3">N4^2</f>
        <v>5.9340959999999908E-2</v>
      </c>
      <c r="R4" s="1">
        <f t="shared" ref="R4:R28" si="4">O4*O4</f>
        <v>0.15079242240000018</v>
      </c>
    </row>
    <row r="5" spans="1:18" ht="14.4" x14ac:dyDescent="0.3">
      <c r="A5" s="1">
        <v>3</v>
      </c>
      <c r="B5" s="1">
        <v>3.32</v>
      </c>
      <c r="C5" s="1">
        <v>6.6360000000000001</v>
      </c>
      <c r="D5" s="1">
        <v>0.66</v>
      </c>
      <c r="J5"/>
      <c r="N5" s="1">
        <f t="shared" si="0"/>
        <v>-0.53359999999999985</v>
      </c>
      <c r="O5" s="1">
        <f t="shared" si="1"/>
        <v>-0.60732000000000053</v>
      </c>
      <c r="P5" s="1">
        <f t="shared" si="2"/>
        <v>-1.4399999999999968E-2</v>
      </c>
      <c r="Q5" s="1">
        <f t="shared" si="3"/>
        <v>0.28472895999999986</v>
      </c>
      <c r="R5" s="1">
        <f t="shared" si="4"/>
        <v>0.36883758240000064</v>
      </c>
    </row>
    <row r="6" spans="1:18" x14ac:dyDescent="0.3">
      <c r="A6" s="1">
        <v>4</v>
      </c>
      <c r="B6" s="1">
        <v>3.07</v>
      </c>
      <c r="C6" s="1">
        <v>6.5060000000000002</v>
      </c>
      <c r="D6" s="1">
        <v>0.61</v>
      </c>
      <c r="N6" s="1">
        <f t="shared" si="0"/>
        <v>-0.78359999999999985</v>
      </c>
      <c r="O6" s="1">
        <f t="shared" si="1"/>
        <v>-0.73732000000000042</v>
      </c>
      <c r="P6" s="1">
        <f t="shared" si="2"/>
        <v>-6.4400000000000013E-2</v>
      </c>
      <c r="Q6" s="1">
        <f t="shared" si="3"/>
        <v>0.61402895999999973</v>
      </c>
      <c r="R6" s="1">
        <f t="shared" si="4"/>
        <v>0.54364078240000058</v>
      </c>
    </row>
    <row r="7" spans="1:18" ht="14.4" x14ac:dyDescent="0.3">
      <c r="A7" s="1">
        <v>5</v>
      </c>
      <c r="B7" s="1">
        <v>3.06</v>
      </c>
      <c r="C7" s="1">
        <v>6.45</v>
      </c>
      <c r="D7" s="1">
        <v>0.7</v>
      </c>
      <c r="J7" s="1" t="s">
        <v>580</v>
      </c>
      <c r="L7"/>
      <c r="N7" s="1">
        <f t="shared" si="0"/>
        <v>-0.79359999999999964</v>
      </c>
      <c r="O7" s="1">
        <f t="shared" si="1"/>
        <v>-0.79332000000000047</v>
      </c>
      <c r="P7" s="1">
        <f t="shared" si="2"/>
        <v>2.5599999999999956E-2</v>
      </c>
      <c r="Q7" s="1">
        <f t="shared" si="3"/>
        <v>0.62980095999999941</v>
      </c>
      <c r="R7" s="1">
        <f t="shared" si="4"/>
        <v>0.62935662240000079</v>
      </c>
    </row>
    <row r="8" spans="1:18" x14ac:dyDescent="0.3">
      <c r="A8" s="1">
        <v>6</v>
      </c>
      <c r="B8" s="1">
        <v>3.11</v>
      </c>
      <c r="C8" s="1">
        <v>6.4020000000000001</v>
      </c>
      <c r="D8" s="1">
        <v>0.72</v>
      </c>
      <c r="N8" s="1">
        <f t="shared" si="0"/>
        <v>-0.74359999999999982</v>
      </c>
      <c r="O8" s="1">
        <f t="shared" si="1"/>
        <v>-0.84132000000000051</v>
      </c>
      <c r="P8" s="1">
        <f t="shared" si="2"/>
        <v>4.5599999999999974E-2</v>
      </c>
      <c r="Q8" s="1">
        <f t="shared" si="3"/>
        <v>0.5529409599999997</v>
      </c>
      <c r="R8" s="1">
        <f t="shared" si="4"/>
        <v>0.70781934240000088</v>
      </c>
    </row>
    <row r="9" spans="1:18" x14ac:dyDescent="0.3">
      <c r="A9" s="1">
        <v>7</v>
      </c>
      <c r="B9" s="1">
        <v>3.21</v>
      </c>
      <c r="C9" s="1">
        <v>6.3680000000000003</v>
      </c>
      <c r="D9" s="1">
        <v>0.77</v>
      </c>
      <c r="N9" s="1">
        <f t="shared" si="0"/>
        <v>-0.64359999999999973</v>
      </c>
      <c r="O9" s="1">
        <f t="shared" si="1"/>
        <v>-0.87532000000000032</v>
      </c>
      <c r="P9" s="1">
        <f t="shared" si="2"/>
        <v>9.5600000000000018E-2</v>
      </c>
      <c r="Q9" s="1">
        <f t="shared" si="3"/>
        <v>0.41422095999999964</v>
      </c>
      <c r="R9" s="1">
        <f t="shared" si="4"/>
        <v>0.76618510240000059</v>
      </c>
    </row>
    <row r="10" spans="1:18" x14ac:dyDescent="0.3">
      <c r="A10" s="1">
        <v>8</v>
      </c>
      <c r="B10" s="1">
        <v>3.26</v>
      </c>
      <c r="C10" s="1">
        <v>6.34</v>
      </c>
      <c r="D10" s="1">
        <v>0.74</v>
      </c>
      <c r="N10" s="1">
        <f t="shared" si="0"/>
        <v>-0.59359999999999991</v>
      </c>
      <c r="O10" s="1">
        <f t="shared" si="1"/>
        <v>-0.90332000000000079</v>
      </c>
      <c r="P10" s="1">
        <f t="shared" si="2"/>
        <v>6.5599999999999992E-2</v>
      </c>
      <c r="Q10" s="1">
        <f t="shared" si="3"/>
        <v>0.35236095999999989</v>
      </c>
      <c r="R10" s="1">
        <f t="shared" si="4"/>
        <v>0.81598702240000143</v>
      </c>
    </row>
    <row r="11" spans="1:18" x14ac:dyDescent="0.3">
      <c r="A11" s="1">
        <v>9</v>
      </c>
      <c r="B11" s="1">
        <v>3.42</v>
      </c>
      <c r="C11" s="1">
        <v>6.3490000000000002</v>
      </c>
      <c r="D11" s="1">
        <v>0.9</v>
      </c>
      <c r="N11" s="1">
        <f t="shared" si="0"/>
        <v>-0.43359999999999976</v>
      </c>
      <c r="O11" s="1">
        <f t="shared" si="1"/>
        <v>-0.89432000000000045</v>
      </c>
      <c r="P11" s="1">
        <f t="shared" si="2"/>
        <v>0.22560000000000002</v>
      </c>
      <c r="Q11" s="1">
        <f t="shared" si="3"/>
        <v>0.18800895999999981</v>
      </c>
      <c r="R11" s="1">
        <f t="shared" si="4"/>
        <v>0.7998082624000008</v>
      </c>
    </row>
    <row r="12" spans="1:18" x14ac:dyDescent="0.3">
      <c r="A12" s="1">
        <v>10</v>
      </c>
      <c r="B12" s="1">
        <v>3.42</v>
      </c>
      <c r="C12" s="1">
        <v>6.3520000000000003</v>
      </c>
      <c r="D12" s="1">
        <v>0.82</v>
      </c>
      <c r="N12" s="1">
        <f t="shared" si="0"/>
        <v>-0.43359999999999976</v>
      </c>
      <c r="O12" s="1">
        <f t="shared" si="1"/>
        <v>-0.89132000000000033</v>
      </c>
      <c r="P12" s="1">
        <f t="shared" si="2"/>
        <v>0.14559999999999995</v>
      </c>
      <c r="Q12" s="1">
        <f t="shared" si="3"/>
        <v>0.18800895999999981</v>
      </c>
      <c r="R12" s="1">
        <f t="shared" si="4"/>
        <v>0.79445134240000059</v>
      </c>
    </row>
    <row r="13" spans="1:18" x14ac:dyDescent="0.3">
      <c r="A13" s="1">
        <v>11</v>
      </c>
      <c r="B13" s="1">
        <v>3.45</v>
      </c>
      <c r="C13" s="1">
        <v>6.3609999999999998</v>
      </c>
      <c r="D13" s="1">
        <v>0.75</v>
      </c>
      <c r="N13" s="1">
        <f t="shared" si="0"/>
        <v>-0.40359999999999951</v>
      </c>
      <c r="O13" s="1">
        <f t="shared" si="1"/>
        <v>-0.88232000000000088</v>
      </c>
      <c r="P13" s="1">
        <f t="shared" si="2"/>
        <v>7.5600000000000001E-2</v>
      </c>
      <c r="Q13" s="1">
        <f t="shared" si="3"/>
        <v>0.16289295999999961</v>
      </c>
      <c r="R13" s="1">
        <f t="shared" si="4"/>
        <v>0.77848858240000152</v>
      </c>
    </row>
    <row r="14" spans="1:18" x14ac:dyDescent="0.3">
      <c r="A14" s="1">
        <v>12</v>
      </c>
      <c r="B14" s="1">
        <v>3.58</v>
      </c>
      <c r="C14" s="1">
        <v>6.3689999999999998</v>
      </c>
      <c r="D14" s="1">
        <v>0.77</v>
      </c>
      <c r="N14" s="1">
        <f t="shared" si="0"/>
        <v>-0.27359999999999962</v>
      </c>
      <c r="O14" s="1">
        <f t="shared" si="1"/>
        <v>-0.87432000000000087</v>
      </c>
      <c r="P14" s="1">
        <f t="shared" si="2"/>
        <v>9.5600000000000018E-2</v>
      </c>
      <c r="Q14" s="1">
        <f t="shared" si="3"/>
        <v>7.4856959999999792E-2</v>
      </c>
      <c r="R14" s="1">
        <f t="shared" si="4"/>
        <v>0.76443546240000149</v>
      </c>
    </row>
    <row r="15" spans="1:18" x14ac:dyDescent="0.3">
      <c r="A15" s="1">
        <v>13</v>
      </c>
      <c r="B15" s="1">
        <v>3.66</v>
      </c>
      <c r="C15" s="1">
        <v>6.5460000000000003</v>
      </c>
      <c r="D15" s="1">
        <v>0.78</v>
      </c>
      <c r="N15" s="1">
        <f t="shared" si="0"/>
        <v>-0.19359999999999955</v>
      </c>
      <c r="O15" s="1">
        <f t="shared" si="1"/>
        <v>-0.69732000000000038</v>
      </c>
      <c r="P15" s="1">
        <f t="shared" si="2"/>
        <v>0.10560000000000003</v>
      </c>
      <c r="Q15" s="1">
        <f t="shared" si="3"/>
        <v>3.7480959999999827E-2</v>
      </c>
      <c r="R15" s="1">
        <f t="shared" si="4"/>
        <v>0.48625518240000054</v>
      </c>
    </row>
    <row r="16" spans="1:18" x14ac:dyDescent="0.3">
      <c r="A16" s="1">
        <v>14</v>
      </c>
      <c r="B16" s="1">
        <v>3.78</v>
      </c>
      <c r="C16" s="1">
        <v>6.6719999999999997</v>
      </c>
      <c r="D16" s="1">
        <v>0.84</v>
      </c>
      <c r="N16" s="1">
        <f t="shared" si="0"/>
        <v>-7.3599999999999888E-2</v>
      </c>
      <c r="O16" s="1">
        <f t="shared" si="1"/>
        <v>-0.57132000000000094</v>
      </c>
      <c r="P16" s="1">
        <f t="shared" si="2"/>
        <v>0.16559999999999997</v>
      </c>
      <c r="Q16" s="1">
        <f t="shared" si="3"/>
        <v>5.4169599999999837E-3</v>
      </c>
      <c r="R16" s="1">
        <f t="shared" si="4"/>
        <v>0.32640654240000105</v>
      </c>
    </row>
    <row r="17" spans="1:18" x14ac:dyDescent="0.3">
      <c r="A17" s="1">
        <v>15</v>
      </c>
      <c r="B17" s="1">
        <v>3.82</v>
      </c>
      <c r="C17" s="1">
        <v>6.89</v>
      </c>
      <c r="D17" s="1">
        <v>0.79</v>
      </c>
      <c r="N17" s="1">
        <f t="shared" si="0"/>
        <v>-3.3599999999999852E-2</v>
      </c>
      <c r="O17" s="1">
        <f t="shared" si="1"/>
        <v>-0.35332000000000097</v>
      </c>
      <c r="P17" s="1">
        <f t="shared" si="2"/>
        <v>0.11560000000000004</v>
      </c>
      <c r="Q17" s="1">
        <f t="shared" si="3"/>
        <v>1.1289599999999901E-3</v>
      </c>
      <c r="R17" s="1">
        <f t="shared" si="4"/>
        <v>0.12483502240000069</v>
      </c>
    </row>
    <row r="18" spans="1:18" x14ac:dyDescent="0.3">
      <c r="A18" s="1">
        <v>16</v>
      </c>
      <c r="B18" s="1">
        <v>3.97</v>
      </c>
      <c r="C18" s="1">
        <v>7.1150000000000002</v>
      </c>
      <c r="D18" s="1">
        <v>0.7</v>
      </c>
      <c r="N18" s="1">
        <f t="shared" si="0"/>
        <v>0.1164000000000005</v>
      </c>
      <c r="O18" s="1">
        <f t="shared" si="1"/>
        <v>-0.12832000000000043</v>
      </c>
      <c r="P18" s="1">
        <f t="shared" si="2"/>
        <v>2.5599999999999956E-2</v>
      </c>
      <c r="Q18" s="1">
        <f t="shared" si="3"/>
        <v>1.3548960000000117E-2</v>
      </c>
      <c r="R18" s="1">
        <f t="shared" si="4"/>
        <v>1.646602240000011E-2</v>
      </c>
    </row>
    <row r="19" spans="1:18" x14ac:dyDescent="0.3">
      <c r="A19" s="1">
        <v>17</v>
      </c>
      <c r="B19" s="1">
        <v>4.07</v>
      </c>
      <c r="C19" s="1">
        <v>7.327</v>
      </c>
      <c r="D19" s="1">
        <v>0.68</v>
      </c>
      <c r="N19" s="1">
        <f t="shared" si="0"/>
        <v>0.21640000000000059</v>
      </c>
      <c r="O19" s="1">
        <f t="shared" si="1"/>
        <v>8.367999999999931E-2</v>
      </c>
      <c r="P19" s="1">
        <f t="shared" si="2"/>
        <v>5.6000000000000494E-3</v>
      </c>
      <c r="Q19" s="1">
        <f t="shared" si="3"/>
        <v>4.682896000000026E-2</v>
      </c>
      <c r="R19" s="1">
        <f t="shared" si="4"/>
        <v>7.0023423999998847E-3</v>
      </c>
    </row>
    <row r="20" spans="1:18" x14ac:dyDescent="0.3">
      <c r="A20" s="1">
        <v>18</v>
      </c>
      <c r="B20" s="1">
        <v>4.25</v>
      </c>
      <c r="C20" s="1">
        <v>7.5460000000000003</v>
      </c>
      <c r="D20" s="1">
        <v>0.72</v>
      </c>
      <c r="N20" s="1">
        <f t="shared" si="0"/>
        <v>0.39640000000000031</v>
      </c>
      <c r="O20" s="1">
        <f t="shared" si="1"/>
        <v>0.30267999999999962</v>
      </c>
      <c r="P20" s="1">
        <f t="shared" si="2"/>
        <v>4.5599999999999974E-2</v>
      </c>
      <c r="Q20" s="1">
        <f t="shared" si="3"/>
        <v>0.15713296000000024</v>
      </c>
      <c r="R20" s="1">
        <f t="shared" si="4"/>
        <v>9.1615182399999773E-2</v>
      </c>
    </row>
    <row r="21" spans="1:18" x14ac:dyDescent="0.3">
      <c r="A21" s="1">
        <v>19</v>
      </c>
      <c r="B21" s="1">
        <v>4.41</v>
      </c>
      <c r="C21" s="1">
        <v>7.931</v>
      </c>
      <c r="D21" s="1">
        <v>0.55000000000000004</v>
      </c>
      <c r="N21" s="1">
        <f t="shared" si="0"/>
        <v>0.55640000000000045</v>
      </c>
      <c r="O21" s="1">
        <f t="shared" si="1"/>
        <v>0.6876799999999994</v>
      </c>
      <c r="P21" s="1">
        <f t="shared" si="2"/>
        <v>-0.12439999999999996</v>
      </c>
      <c r="Q21" s="1">
        <f t="shared" si="3"/>
        <v>0.30958096000000052</v>
      </c>
      <c r="R21" s="1">
        <f t="shared" si="4"/>
        <v>0.4729037823999992</v>
      </c>
    </row>
    <row r="22" spans="1:18" x14ac:dyDescent="0.3">
      <c r="A22" s="1">
        <v>20</v>
      </c>
      <c r="B22" s="1">
        <v>4.49</v>
      </c>
      <c r="C22" s="1">
        <v>8.0969999999999995</v>
      </c>
      <c r="D22" s="1">
        <v>0.63</v>
      </c>
      <c r="N22" s="1">
        <f t="shared" si="0"/>
        <v>0.63640000000000052</v>
      </c>
      <c r="O22" s="1">
        <f t="shared" si="1"/>
        <v>0.85367999999999888</v>
      </c>
      <c r="P22" s="1">
        <f t="shared" si="2"/>
        <v>-4.4399999999999995E-2</v>
      </c>
      <c r="Q22" s="1">
        <f t="shared" si="3"/>
        <v>0.40500496000000064</v>
      </c>
      <c r="R22" s="1">
        <f t="shared" si="4"/>
        <v>0.72876954239999814</v>
      </c>
    </row>
    <row r="23" spans="1:18" x14ac:dyDescent="0.3">
      <c r="A23" s="1">
        <v>21</v>
      </c>
      <c r="B23" s="1">
        <v>4.7</v>
      </c>
      <c r="C23" s="1">
        <v>8.468</v>
      </c>
      <c r="D23" s="1">
        <v>0.56000000000000005</v>
      </c>
      <c r="N23" s="1">
        <f t="shared" si="0"/>
        <v>0.84640000000000049</v>
      </c>
      <c r="O23" s="1">
        <f t="shared" si="1"/>
        <v>1.2246799999999993</v>
      </c>
      <c r="P23" s="1">
        <f t="shared" si="2"/>
        <v>-0.11439999999999995</v>
      </c>
      <c r="Q23" s="1">
        <f t="shared" si="3"/>
        <v>0.71639296000000086</v>
      </c>
      <c r="R23" s="1">
        <f t="shared" si="4"/>
        <v>1.4998411023999982</v>
      </c>
    </row>
    <row r="24" spans="1:18" x14ac:dyDescent="0.3">
      <c r="A24" s="1">
        <v>22</v>
      </c>
      <c r="B24" s="1">
        <v>4.58</v>
      </c>
      <c r="C24" s="1">
        <v>8.7170000000000005</v>
      </c>
      <c r="D24" s="1">
        <v>0.41</v>
      </c>
      <c r="N24" s="1">
        <f t="shared" si="0"/>
        <v>0.72640000000000038</v>
      </c>
      <c r="O24" s="1">
        <f t="shared" si="1"/>
        <v>1.4736799999999999</v>
      </c>
      <c r="P24" s="1">
        <f t="shared" si="2"/>
        <v>-0.26440000000000002</v>
      </c>
      <c r="Q24" s="1">
        <f t="shared" si="3"/>
        <v>0.52765696000000051</v>
      </c>
      <c r="R24" s="1">
        <f t="shared" si="4"/>
        <v>2.1717327423999997</v>
      </c>
    </row>
    <row r="25" spans="1:18" x14ac:dyDescent="0.3">
      <c r="A25" s="1">
        <v>23</v>
      </c>
      <c r="B25" s="1">
        <v>4.6900000000000004</v>
      </c>
      <c r="C25" s="1">
        <v>8.9909999999999997</v>
      </c>
      <c r="D25" s="1">
        <v>0.51</v>
      </c>
      <c r="N25" s="1">
        <f t="shared" si="0"/>
        <v>0.8364000000000007</v>
      </c>
      <c r="O25" s="1">
        <f t="shared" si="1"/>
        <v>1.747679999999999</v>
      </c>
      <c r="P25" s="1">
        <f t="shared" si="2"/>
        <v>-0.16439999999999999</v>
      </c>
      <c r="Q25" s="1">
        <f t="shared" si="3"/>
        <v>0.69956496000000112</v>
      </c>
      <c r="R25" s="1">
        <f t="shared" si="4"/>
        <v>3.0543853823999965</v>
      </c>
    </row>
    <row r="26" spans="1:18" x14ac:dyDescent="0.3">
      <c r="A26" s="1">
        <v>24</v>
      </c>
      <c r="B26" s="1">
        <v>4.71</v>
      </c>
      <c r="C26" s="1">
        <v>9.1790000000000003</v>
      </c>
      <c r="D26" s="1">
        <v>0.47</v>
      </c>
      <c r="N26" s="1">
        <f t="shared" si="0"/>
        <v>0.85640000000000027</v>
      </c>
      <c r="O26" s="1">
        <f t="shared" si="1"/>
        <v>1.9356799999999996</v>
      </c>
      <c r="P26" s="1">
        <f t="shared" si="2"/>
        <v>-0.20440000000000003</v>
      </c>
      <c r="Q26" s="1">
        <f t="shared" si="3"/>
        <v>0.73342096000000045</v>
      </c>
      <c r="R26" s="1">
        <f t="shared" si="4"/>
        <v>3.7468570623999984</v>
      </c>
    </row>
    <row r="27" spans="1:18" x14ac:dyDescent="0.3">
      <c r="A27" s="1">
        <v>25</v>
      </c>
      <c r="B27" s="1">
        <v>4.78</v>
      </c>
      <c r="C27" s="1">
        <v>9.3179999999999996</v>
      </c>
      <c r="D27" s="1">
        <v>0.32</v>
      </c>
      <c r="N27" s="1">
        <f t="shared" si="0"/>
        <v>0.92640000000000056</v>
      </c>
      <c r="O27" s="1">
        <f t="shared" si="1"/>
        <v>2.074679999999999</v>
      </c>
      <c r="P27" s="1">
        <f t="shared" si="2"/>
        <v>-0.35439999999999999</v>
      </c>
      <c r="Q27" s="1">
        <f t="shared" si="3"/>
        <v>0.85821696000000103</v>
      </c>
      <c r="R27" s="1">
        <f t="shared" si="4"/>
        <v>4.3042971023999961</v>
      </c>
    </row>
    <row r="28" spans="1:18" ht="13.5" customHeight="1" x14ac:dyDescent="0.3">
      <c r="A28" s="1" t="s">
        <v>3</v>
      </c>
      <c r="B28" s="1">
        <f>AVERAGE(B3:B27)</f>
        <v>3.8535999999999997</v>
      </c>
      <c r="C28" s="1">
        <f t="shared" ref="C28:D28" si="5">AVERAGE(C3:C27)</f>
        <v>7.2433200000000006</v>
      </c>
      <c r="D28" s="1">
        <f t="shared" si="5"/>
        <v>0.6744</v>
      </c>
      <c r="N28" s="1">
        <f t="shared" si="0"/>
        <v>0</v>
      </c>
      <c r="O28" s="1">
        <f t="shared" si="1"/>
        <v>0</v>
      </c>
      <c r="P28" s="1">
        <f t="shared" si="2"/>
        <v>0</v>
      </c>
      <c r="Q28" s="1">
        <f t="shared" si="3"/>
        <v>0</v>
      </c>
      <c r="R28" s="1">
        <f t="shared" si="4"/>
        <v>0</v>
      </c>
    </row>
    <row r="29" spans="1:18" x14ac:dyDescent="0.3">
      <c r="A29" s="1" t="s">
        <v>98</v>
      </c>
    </row>
  </sheetData>
  <mergeCells count="1">
    <mergeCell ref="A1:H1"/>
  </mergeCells>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82"/>
  <sheetViews>
    <sheetView topLeftCell="A175" workbookViewId="0">
      <selection activeCell="H191" sqref="H191"/>
    </sheetView>
  </sheetViews>
  <sheetFormatPr defaultColWidth="9.109375" defaultRowHeight="15.6" x14ac:dyDescent="0.3"/>
  <cols>
    <col min="1" max="1" width="13" style="24" customWidth="1"/>
    <col min="2" max="2" width="11.88671875" style="24" customWidth="1"/>
    <col min="3" max="3" width="11.33203125" style="24" customWidth="1"/>
    <col min="4" max="4" width="12.6640625" style="24" customWidth="1"/>
    <col min="5" max="5" width="12.88671875" style="24" customWidth="1"/>
    <col min="6" max="6" width="13.109375" style="24" customWidth="1"/>
    <col min="7" max="7" width="10.109375" style="24" customWidth="1"/>
    <col min="8" max="8" width="10.88671875" style="24" customWidth="1"/>
    <col min="9" max="11" width="13.109375" style="24" bestFit="1" customWidth="1"/>
    <col min="12" max="12" width="10.6640625" style="24" bestFit="1" customWidth="1"/>
    <col min="13" max="13" width="13.109375" style="24" bestFit="1" customWidth="1"/>
    <col min="14" max="14" width="9.109375" style="24"/>
    <col min="15" max="15" width="13.109375" style="24" bestFit="1" customWidth="1"/>
    <col min="16" max="16384" width="9.109375" style="24"/>
  </cols>
  <sheetData>
    <row r="1" spans="1:12" ht="19.5" customHeight="1" thickBot="1" x14ac:dyDescent="0.35">
      <c r="A1" s="357" t="s">
        <v>0</v>
      </c>
      <c r="B1" s="358"/>
      <c r="C1" s="358"/>
      <c r="D1" s="358"/>
      <c r="E1" s="358"/>
      <c r="F1" s="358"/>
      <c r="G1" s="358"/>
      <c r="H1" s="358"/>
      <c r="I1" s="358"/>
      <c r="J1" s="358"/>
      <c r="K1" s="358"/>
      <c r="L1" s="359"/>
    </row>
    <row r="2" spans="1:12" s="25" customFormat="1" ht="46.8" x14ac:dyDescent="0.3">
      <c r="B2" s="25" t="s">
        <v>731</v>
      </c>
      <c r="C2" s="25" t="s">
        <v>732</v>
      </c>
      <c r="D2" s="25" t="s">
        <v>733</v>
      </c>
      <c r="E2" s="24" t="s">
        <v>734</v>
      </c>
      <c r="F2" s="354"/>
      <c r="G2" s="354"/>
      <c r="H2" s="354"/>
      <c r="I2"/>
      <c r="J2" s="354"/>
      <c r="K2" s="354"/>
      <c r="L2" s="354"/>
    </row>
    <row r="3" spans="1:12" x14ac:dyDescent="0.3">
      <c r="A3" s="24">
        <v>1</v>
      </c>
      <c r="B3" s="24">
        <v>43</v>
      </c>
      <c r="C3" s="24">
        <v>52</v>
      </c>
      <c r="D3" s="24">
        <v>61</v>
      </c>
      <c r="E3" s="24">
        <f>AVERAGE(B3:D3)</f>
        <v>52</v>
      </c>
      <c r="F3" s="24">
        <f>(B3-$B$9)^2</f>
        <v>361</v>
      </c>
      <c r="G3" s="24">
        <f>(C3-$C$9)^2</f>
        <v>1</v>
      </c>
      <c r="H3" s="24">
        <f>(D3-$D$9)^2</f>
        <v>81</v>
      </c>
      <c r="I3" s="24">
        <f>6*(B9-$E$9)^2</f>
        <v>211.5234375</v>
      </c>
      <c r="J3" s="24">
        <f>(B3-$E$9)^2</f>
        <v>170.62890625</v>
      </c>
      <c r="K3" s="24">
        <f t="shared" ref="K3:L3" si="0">(C3-$E$9)^2</f>
        <v>16.50390625</v>
      </c>
      <c r="L3" s="24">
        <f t="shared" si="0"/>
        <v>24.37890625</v>
      </c>
    </row>
    <row r="4" spans="1:12" x14ac:dyDescent="0.3">
      <c r="A4" s="24">
        <v>2</v>
      </c>
      <c r="B4" s="24">
        <v>52</v>
      </c>
      <c r="C4" s="24">
        <v>37</v>
      </c>
      <c r="D4" s="24">
        <v>29</v>
      </c>
      <c r="E4" s="24">
        <f t="shared" ref="E4:E8" si="1">AVERAGE(B4:D4)</f>
        <v>39.333333333333336</v>
      </c>
      <c r="F4" s="24">
        <f t="shared" ref="F4:F8" si="2">(B4-$B$9)^2</f>
        <v>100</v>
      </c>
      <c r="G4" s="24">
        <f t="shared" ref="G4:G7" si="3">(C4-$C$9)^2</f>
        <v>256</v>
      </c>
      <c r="H4" s="24">
        <f t="shared" ref="H4:H7" si="4">(D4-$D$9)^2</f>
        <v>529</v>
      </c>
      <c r="I4" s="24">
        <f>5*(C9-$E$9)^2</f>
        <v>46.89453125</v>
      </c>
      <c r="J4" s="24">
        <f t="shared" ref="J4:J8" si="5">(B4-$E$9)^2</f>
        <v>16.50390625</v>
      </c>
      <c r="K4" s="24">
        <f t="shared" ref="K4:K7" si="6">(C4-$E$9)^2</f>
        <v>363.37890625</v>
      </c>
      <c r="L4" s="24">
        <f t="shared" ref="L4:L7" si="7">(D4-$E$9)^2</f>
        <v>732.37890625</v>
      </c>
    </row>
    <row r="5" spans="1:12" x14ac:dyDescent="0.3">
      <c r="A5" s="24">
        <v>3</v>
      </c>
      <c r="B5" s="24">
        <v>59</v>
      </c>
      <c r="C5" s="24">
        <v>38</v>
      </c>
      <c r="D5" s="24">
        <v>38</v>
      </c>
      <c r="E5" s="24">
        <f t="shared" si="1"/>
        <v>45</v>
      </c>
      <c r="F5" s="24">
        <f t="shared" si="2"/>
        <v>9</v>
      </c>
      <c r="G5" s="24">
        <f t="shared" si="3"/>
        <v>225</v>
      </c>
      <c r="H5" s="24">
        <f t="shared" si="4"/>
        <v>196</v>
      </c>
      <c r="I5" s="24">
        <f>5*(D9-$E$9)^2</f>
        <v>82.51953125</v>
      </c>
      <c r="J5" s="24">
        <f t="shared" si="5"/>
        <v>8.62890625</v>
      </c>
      <c r="K5" s="24">
        <f t="shared" si="6"/>
        <v>326.25390625</v>
      </c>
      <c r="L5" s="24">
        <f t="shared" si="7"/>
        <v>326.25390625</v>
      </c>
    </row>
    <row r="6" spans="1:12" x14ac:dyDescent="0.3">
      <c r="A6" s="24">
        <v>4</v>
      </c>
      <c r="B6" s="24">
        <v>76</v>
      </c>
      <c r="C6" s="24">
        <v>64</v>
      </c>
      <c r="D6" s="24">
        <v>53</v>
      </c>
      <c r="E6" s="24">
        <f t="shared" si="1"/>
        <v>64.333333333333329</v>
      </c>
      <c r="F6" s="24">
        <f t="shared" si="2"/>
        <v>196</v>
      </c>
      <c r="G6" s="24">
        <f t="shared" si="3"/>
        <v>121</v>
      </c>
      <c r="H6" s="24">
        <f t="shared" si="4"/>
        <v>1</v>
      </c>
      <c r="J6" s="24">
        <f t="shared" si="5"/>
        <v>397.50390625</v>
      </c>
      <c r="K6" s="24">
        <f t="shared" si="6"/>
        <v>63.00390625</v>
      </c>
      <c r="L6" s="24">
        <f t="shared" si="7"/>
        <v>9.37890625</v>
      </c>
    </row>
    <row r="7" spans="1:12" x14ac:dyDescent="0.3">
      <c r="A7" s="24">
        <v>5</v>
      </c>
      <c r="B7" s="24">
        <v>61</v>
      </c>
      <c r="C7" s="24">
        <v>74</v>
      </c>
      <c r="D7" s="24">
        <v>79</v>
      </c>
      <c r="E7" s="24">
        <f t="shared" si="1"/>
        <v>71.333333333333329</v>
      </c>
      <c r="F7" s="24">
        <f t="shared" si="2"/>
        <v>1</v>
      </c>
      <c r="G7" s="24">
        <f t="shared" si="3"/>
        <v>441</v>
      </c>
      <c r="H7" s="24">
        <f t="shared" si="4"/>
        <v>729</v>
      </c>
      <c r="J7" s="24">
        <f t="shared" si="5"/>
        <v>24.37890625</v>
      </c>
      <c r="K7" s="24">
        <f t="shared" si="6"/>
        <v>321.75390625</v>
      </c>
      <c r="L7" s="24">
        <f t="shared" si="7"/>
        <v>526.12890625</v>
      </c>
    </row>
    <row r="8" spans="1:12" x14ac:dyDescent="0.3">
      <c r="A8" s="24">
        <v>6</v>
      </c>
      <c r="B8" s="24">
        <v>81</v>
      </c>
      <c r="E8" s="24">
        <f t="shared" si="1"/>
        <v>81</v>
      </c>
      <c r="F8" s="24">
        <f t="shared" si="2"/>
        <v>361</v>
      </c>
      <c r="J8" s="24">
        <f t="shared" si="5"/>
        <v>621.87890625</v>
      </c>
    </row>
    <row r="9" spans="1:12" ht="45.75" customHeight="1" x14ac:dyDescent="0.3">
      <c r="A9" s="24" t="s">
        <v>735</v>
      </c>
      <c r="B9" s="24">
        <f>AVERAGE(B3:B8)</f>
        <v>62</v>
      </c>
      <c r="C9" s="24">
        <f>AVERAGE(C3:C7)</f>
        <v>53</v>
      </c>
      <c r="D9" s="24">
        <f>AVERAGE(D3:D7)</f>
        <v>52</v>
      </c>
      <c r="E9" s="52">
        <f>SUM(B3:D8)/16</f>
        <v>56.0625</v>
      </c>
      <c r="G9" s="24" t="s">
        <v>98</v>
      </c>
      <c r="H9" s="24">
        <f>SUM(F3:H8)</f>
        <v>3608</v>
      </c>
      <c r="I9" s="24">
        <f>SUM(I3:I8)</f>
        <v>340.9375</v>
      </c>
      <c r="L9" s="24">
        <f>SUM(J3:L8)</f>
        <v>3948.9375</v>
      </c>
    </row>
    <row r="11" spans="1:12" x14ac:dyDescent="0.3">
      <c r="A11" s="260" t="s">
        <v>53</v>
      </c>
      <c r="B11" s="260"/>
      <c r="C11" s="260"/>
      <c r="D11" s="260"/>
      <c r="E11" s="260"/>
      <c r="F11" s="260"/>
      <c r="G11" s="290" t="s">
        <v>54</v>
      </c>
      <c r="H11" s="290"/>
      <c r="I11" s="290"/>
      <c r="J11" s="290"/>
      <c r="K11" s="290"/>
      <c r="L11" s="282"/>
    </row>
    <row r="13" spans="1:12" x14ac:dyDescent="0.3">
      <c r="A13" s="185"/>
      <c r="D13" s="24" t="s">
        <v>316</v>
      </c>
      <c r="E13" s="41">
        <f>H9</f>
        <v>3608</v>
      </c>
      <c r="G13" s="185"/>
    </row>
    <row r="14" spans="1:12" x14ac:dyDescent="0.3">
      <c r="A14" s="185"/>
      <c r="G14" s="185"/>
    </row>
    <row r="15" spans="1:12" x14ac:dyDescent="0.3">
      <c r="A15" s="185"/>
      <c r="G15" s="185"/>
    </row>
    <row r="16" spans="1:12" x14ac:dyDescent="0.3">
      <c r="D16" s="24" t="s">
        <v>316</v>
      </c>
      <c r="E16" s="41">
        <f>I9</f>
        <v>340.9375</v>
      </c>
    </row>
    <row r="18" spans="1:12" x14ac:dyDescent="0.3">
      <c r="G18" s="24" t="s">
        <v>569</v>
      </c>
      <c r="H18" s="24" t="s">
        <v>316</v>
      </c>
      <c r="I18" s="24">
        <f>6+5+5</f>
        <v>16</v>
      </c>
    </row>
    <row r="19" spans="1:12" x14ac:dyDescent="0.3">
      <c r="D19" s="24" t="s">
        <v>316</v>
      </c>
      <c r="E19" s="41">
        <f>L9</f>
        <v>3948.9375</v>
      </c>
      <c r="F19" s="41">
        <f>SUM(E13+E16)</f>
        <v>3948.9375</v>
      </c>
    </row>
    <row r="20" spans="1:12" x14ac:dyDescent="0.3">
      <c r="G20" s="24" t="s">
        <v>736</v>
      </c>
      <c r="H20" s="24" t="s">
        <v>316</v>
      </c>
      <c r="I20"/>
      <c r="J20" s="24" t="s">
        <v>316</v>
      </c>
      <c r="K20" s="24">
        <f>E16/(3-1)</f>
        <v>170.46875</v>
      </c>
    </row>
    <row r="22" spans="1:12" ht="18" x14ac:dyDescent="0.3">
      <c r="H22" s="24" t="s">
        <v>316</v>
      </c>
      <c r="I22" s="24" t="s">
        <v>741</v>
      </c>
      <c r="J22" s="24" t="s">
        <v>316</v>
      </c>
      <c r="K22" s="24">
        <f>FINV(0.05,2,13)</f>
        <v>3.8055652529780568</v>
      </c>
      <c r="L22" s="24" t="s">
        <v>742</v>
      </c>
    </row>
    <row r="23" spans="1:12" ht="16.2" thickBot="1" x14ac:dyDescent="0.35"/>
    <row r="24" spans="1:12" ht="16.2" thickBot="1" x14ac:dyDescent="0.35">
      <c r="A24" s="240" t="s">
        <v>751</v>
      </c>
      <c r="B24" s="241"/>
      <c r="C24" s="191" t="s">
        <v>752</v>
      </c>
      <c r="D24" s="191" t="s">
        <v>753</v>
      </c>
      <c r="E24" s="191" t="s">
        <v>754</v>
      </c>
      <c r="F24" s="58" t="s">
        <v>755</v>
      </c>
    </row>
    <row r="25" spans="1:12" x14ac:dyDescent="0.3">
      <c r="A25" s="355" t="s">
        <v>756</v>
      </c>
      <c r="B25" s="355"/>
      <c r="C25" s="24">
        <f>E16</f>
        <v>340.9375</v>
      </c>
      <c r="D25" s="24">
        <f>2</f>
        <v>2</v>
      </c>
      <c r="E25" s="24">
        <f>C25/D25</f>
        <v>170.46875</v>
      </c>
      <c r="F25" s="24">
        <f>K22</f>
        <v>3.8055652529780568</v>
      </c>
    </row>
    <row r="26" spans="1:12" x14ac:dyDescent="0.3">
      <c r="A26" s="355" t="s">
        <v>757</v>
      </c>
      <c r="B26" s="355"/>
      <c r="C26" s="24">
        <f>E13</f>
        <v>3608</v>
      </c>
      <c r="D26" s="24">
        <f>13</f>
        <v>13</v>
      </c>
      <c r="E26" s="24">
        <f>C26/D26</f>
        <v>277.53846153846155</v>
      </c>
    </row>
    <row r="27" spans="1:12" ht="16.2" thickBot="1" x14ac:dyDescent="0.35">
      <c r="A27" s="356" t="s">
        <v>98</v>
      </c>
      <c r="B27" s="356"/>
      <c r="C27" s="192">
        <f>E19</f>
        <v>3948.9375</v>
      </c>
      <c r="D27" s="192">
        <f>SUM(D25:D26)</f>
        <v>15</v>
      </c>
      <c r="E27" s="192"/>
      <c r="F27" s="192"/>
    </row>
    <row r="30" spans="1:12" ht="15.75" customHeight="1" x14ac:dyDescent="0.3">
      <c r="G30" s="243" t="s">
        <v>744</v>
      </c>
      <c r="H30" s="348"/>
      <c r="I30" s="348"/>
      <c r="J30" s="348"/>
      <c r="K30" s="348"/>
      <c r="L30" s="349"/>
    </row>
    <row r="31" spans="1:12" x14ac:dyDescent="0.3">
      <c r="G31" s="244"/>
      <c r="H31" s="252"/>
      <c r="I31" s="252"/>
      <c r="J31" s="252"/>
      <c r="K31" s="252"/>
      <c r="L31" s="350"/>
    </row>
    <row r="32" spans="1:12" x14ac:dyDescent="0.3">
      <c r="G32" s="351"/>
      <c r="H32" s="352"/>
      <c r="I32" s="352"/>
      <c r="J32" s="352"/>
      <c r="K32" s="352"/>
      <c r="L32" s="353"/>
    </row>
    <row r="33" spans="1:15" ht="16.2" thickBot="1" x14ac:dyDescent="0.35"/>
    <row r="34" spans="1:15" ht="18" thickBot="1" x14ac:dyDescent="0.35">
      <c r="A34" s="357" t="s">
        <v>7</v>
      </c>
      <c r="B34" s="358"/>
      <c r="C34" s="358"/>
      <c r="D34" s="358"/>
      <c r="E34" s="358"/>
      <c r="F34" s="358"/>
      <c r="G34" s="358"/>
      <c r="H34" s="358"/>
      <c r="I34" s="358"/>
      <c r="J34" s="358"/>
      <c r="K34" s="358"/>
      <c r="L34" s="359"/>
    </row>
    <row r="35" spans="1:15" ht="46.8" x14ac:dyDescent="0.3">
      <c r="A35" s="25"/>
      <c r="B35" s="25" t="s">
        <v>737</v>
      </c>
      <c r="C35" s="25" t="s">
        <v>738</v>
      </c>
      <c r="D35" s="25" t="s">
        <v>739</v>
      </c>
      <c r="E35" s="25" t="s">
        <v>740</v>
      </c>
      <c r="F35" s="24" t="s">
        <v>734</v>
      </c>
      <c r="G35" s="360"/>
      <c r="H35" s="360"/>
      <c r="I35" s="360"/>
      <c r="J35" s="360"/>
      <c r="K35"/>
      <c r="L35" s="354"/>
      <c r="M35" s="354"/>
      <c r="N35" s="354"/>
      <c r="O35" s="354"/>
    </row>
    <row r="36" spans="1:15" x14ac:dyDescent="0.3">
      <c r="A36" s="24">
        <v>1</v>
      </c>
      <c r="B36" s="24">
        <v>72</v>
      </c>
      <c r="C36" s="24">
        <v>78</v>
      </c>
      <c r="D36" s="24">
        <v>80</v>
      </c>
      <c r="E36" s="24">
        <v>79</v>
      </c>
      <c r="F36" s="24">
        <f>AVERAGE(B36:E36)</f>
        <v>77.25</v>
      </c>
      <c r="G36" s="24">
        <f>(B36-$B$42)^2</f>
        <v>1</v>
      </c>
      <c r="H36" s="24">
        <f>(C36-$C$42)^2</f>
        <v>64</v>
      </c>
      <c r="I36" s="24">
        <f>(D36-$D$42)^2</f>
        <v>64</v>
      </c>
      <c r="J36" s="24">
        <f>(E36-$D$42)^2</f>
        <v>49</v>
      </c>
      <c r="K36" s="24">
        <f>5*(B42-$F$42)^2</f>
        <v>41.172022684309823</v>
      </c>
      <c r="L36" s="24">
        <f>(B36-$F$42)^2</f>
        <v>14.973534971644559</v>
      </c>
      <c r="M36" s="24">
        <f t="shared" ref="M36:O41" si="8">(C36-$F$42)^2</f>
        <v>4.5387523629489896</v>
      </c>
      <c r="N36" s="24">
        <f t="shared" si="8"/>
        <v>17.0604914933838</v>
      </c>
      <c r="O36" s="24">
        <f t="shared" si="8"/>
        <v>9.7996219281663937</v>
      </c>
    </row>
    <row r="37" spans="1:15" x14ac:dyDescent="0.3">
      <c r="A37" s="24">
        <v>2</v>
      </c>
      <c r="B37" s="24">
        <v>69</v>
      </c>
      <c r="C37" s="24">
        <v>93</v>
      </c>
      <c r="D37" s="24">
        <v>68</v>
      </c>
      <c r="E37" s="24">
        <v>70</v>
      </c>
      <c r="F37" s="24">
        <f t="shared" ref="F37:F40" si="9">AVERAGE(B37:E37)</f>
        <v>75</v>
      </c>
      <c r="G37" s="24">
        <f t="shared" ref="G37:G40" si="10">(B37-$B$42)^2</f>
        <v>16</v>
      </c>
      <c r="H37" s="24">
        <f t="shared" ref="H37:H41" si="11">(C37-$C$42)^2</f>
        <v>49</v>
      </c>
      <c r="I37" s="24">
        <f t="shared" ref="I37:J41" si="12">(D37-$D$42)^2</f>
        <v>16</v>
      </c>
      <c r="J37" s="24">
        <f t="shared" si="12"/>
        <v>4</v>
      </c>
      <c r="K37" s="24">
        <f>6*(C42-$F$42)^2</f>
        <v>615.75425330812936</v>
      </c>
      <c r="L37" s="24">
        <f>(B37-$F$42)^2</f>
        <v>47.190926275992346</v>
      </c>
      <c r="M37" s="24">
        <f t="shared" si="8"/>
        <v>293.45179584121007</v>
      </c>
      <c r="N37" s="24">
        <f t="shared" si="8"/>
        <v>61.930056710774942</v>
      </c>
      <c r="O37" s="24">
        <f t="shared" si="8"/>
        <v>34.451795841209751</v>
      </c>
    </row>
    <row r="38" spans="1:15" x14ac:dyDescent="0.3">
      <c r="A38" s="24">
        <v>3</v>
      </c>
      <c r="B38" s="24">
        <v>84</v>
      </c>
      <c r="C38" s="24">
        <v>79</v>
      </c>
      <c r="D38" s="24">
        <v>59</v>
      </c>
      <c r="E38" s="24">
        <v>61</v>
      </c>
      <c r="F38" s="24">
        <f t="shared" si="9"/>
        <v>70.75</v>
      </c>
      <c r="G38" s="24">
        <f t="shared" si="10"/>
        <v>121</v>
      </c>
      <c r="H38" s="24">
        <f t="shared" si="11"/>
        <v>49</v>
      </c>
      <c r="I38" s="24">
        <f t="shared" si="12"/>
        <v>169</v>
      </c>
      <c r="J38" s="24">
        <f t="shared" si="12"/>
        <v>121</v>
      </c>
      <c r="K38" s="24">
        <f>6*(D42-$F$42)^2</f>
        <v>89.841209829867353</v>
      </c>
      <c r="L38" s="24">
        <f>(B38-$F$42)^2</f>
        <v>66.103969754253413</v>
      </c>
      <c r="M38" s="24">
        <f t="shared" si="8"/>
        <v>9.7996219281663937</v>
      </c>
      <c r="N38" s="24">
        <f t="shared" si="8"/>
        <v>284.5822306238183</v>
      </c>
      <c r="O38" s="24">
        <f t="shared" si="8"/>
        <v>221.10396975425311</v>
      </c>
    </row>
    <row r="39" spans="1:15" x14ac:dyDescent="0.3">
      <c r="A39" s="24">
        <v>4</v>
      </c>
      <c r="B39" s="24">
        <v>76</v>
      </c>
      <c r="C39" s="24">
        <v>97</v>
      </c>
      <c r="D39" s="24">
        <v>75</v>
      </c>
      <c r="E39" s="24">
        <v>74</v>
      </c>
      <c r="F39" s="24">
        <f t="shared" si="9"/>
        <v>80.5</v>
      </c>
      <c r="G39" s="24">
        <f t="shared" si="10"/>
        <v>9</v>
      </c>
      <c r="H39" s="24">
        <f t="shared" si="11"/>
        <v>121</v>
      </c>
      <c r="I39" s="24">
        <f t="shared" si="12"/>
        <v>9</v>
      </c>
      <c r="J39" s="24">
        <f t="shared" si="12"/>
        <v>4</v>
      </c>
      <c r="K39" s="24">
        <f>6*(E42-$F$42)^2</f>
        <v>89.841209829867353</v>
      </c>
      <c r="L39" s="24">
        <f>(B39-$F$42)^2</f>
        <v>1.7013232514179466E-2</v>
      </c>
      <c r="M39" s="24">
        <f t="shared" si="8"/>
        <v>446.49527410207969</v>
      </c>
      <c r="N39" s="24">
        <f t="shared" si="8"/>
        <v>0.75614366729677462</v>
      </c>
      <c r="O39" s="24">
        <f t="shared" si="8"/>
        <v>3.4952741020793696</v>
      </c>
    </row>
    <row r="40" spans="1:15" x14ac:dyDescent="0.3">
      <c r="A40" s="24">
        <v>5</v>
      </c>
      <c r="B40" s="24">
        <v>64</v>
      </c>
      <c r="C40" s="24">
        <v>88</v>
      </c>
      <c r="D40" s="24">
        <v>82</v>
      </c>
      <c r="E40" s="24">
        <v>85</v>
      </c>
      <c r="F40" s="24">
        <f t="shared" si="9"/>
        <v>79.75</v>
      </c>
      <c r="G40" s="24">
        <f t="shared" si="10"/>
        <v>81</v>
      </c>
      <c r="H40" s="24">
        <f t="shared" si="11"/>
        <v>4</v>
      </c>
      <c r="I40" s="24">
        <f t="shared" si="12"/>
        <v>100</v>
      </c>
      <c r="J40" s="24">
        <f t="shared" si="12"/>
        <v>169</v>
      </c>
      <c r="L40" s="24">
        <f>(B40-$F$42)^2</f>
        <v>140.88657844990533</v>
      </c>
      <c r="M40" s="24">
        <f t="shared" si="8"/>
        <v>147.14744801512305</v>
      </c>
      <c r="N40" s="24">
        <f t="shared" si="8"/>
        <v>37.58223062381861</v>
      </c>
      <c r="O40" s="24">
        <f t="shared" si="8"/>
        <v>83.364839319470818</v>
      </c>
    </row>
    <row r="41" spans="1:15" x14ac:dyDescent="0.3">
      <c r="A41" s="24">
        <v>6</v>
      </c>
      <c r="C41" s="24">
        <v>81</v>
      </c>
      <c r="D41" s="24">
        <v>68</v>
      </c>
      <c r="E41" s="24">
        <v>63</v>
      </c>
      <c r="F41" s="24">
        <f>AVERAGE(C41:E41)</f>
        <v>70.666666666666671</v>
      </c>
      <c r="H41" s="24">
        <f t="shared" si="11"/>
        <v>25</v>
      </c>
      <c r="I41" s="24">
        <f t="shared" si="12"/>
        <v>16</v>
      </c>
      <c r="J41" s="24">
        <f t="shared" si="12"/>
        <v>81</v>
      </c>
      <c r="M41" s="24">
        <f t="shared" si="8"/>
        <v>26.321361058601205</v>
      </c>
      <c r="N41" s="24">
        <f t="shared" si="8"/>
        <v>61.930056710774942</v>
      </c>
      <c r="O41" s="24">
        <f t="shared" si="8"/>
        <v>165.62570888468792</v>
      </c>
    </row>
    <row r="42" spans="1:15" ht="46.8" x14ac:dyDescent="0.3">
      <c r="A42" s="24" t="s">
        <v>735</v>
      </c>
      <c r="B42" s="24">
        <f>AVERAGE(B36:B40)</f>
        <v>73</v>
      </c>
      <c r="C42" s="24">
        <f>AVERAGE(C36:C41)</f>
        <v>86</v>
      </c>
      <c r="D42" s="24">
        <f t="shared" ref="D42:E42" si="13">AVERAGE(D36:D41)</f>
        <v>72</v>
      </c>
      <c r="E42" s="24">
        <f t="shared" si="13"/>
        <v>72</v>
      </c>
      <c r="F42" s="52">
        <f>SUM(B36:E41)/23</f>
        <v>75.869565217391298</v>
      </c>
      <c r="I42" s="24" t="s">
        <v>98</v>
      </c>
      <c r="J42" s="24">
        <f>SUM(G36:J41)</f>
        <v>1342</v>
      </c>
      <c r="K42" s="24">
        <f>SUM(K36:K41)</f>
        <v>836.60869565217388</v>
      </c>
      <c r="O42" s="24">
        <f>SUM(L36:O41)</f>
        <v>2178.608695652174</v>
      </c>
    </row>
    <row r="44" spans="1:15" x14ac:dyDescent="0.3">
      <c r="A44" s="260" t="s">
        <v>53</v>
      </c>
      <c r="B44" s="260"/>
      <c r="C44" s="260"/>
      <c r="D44" s="260"/>
      <c r="E44" s="260"/>
      <c r="F44" s="260"/>
      <c r="G44" s="290" t="s">
        <v>54</v>
      </c>
      <c r="H44" s="290"/>
      <c r="I44" s="290"/>
      <c r="J44" s="290"/>
      <c r="K44" s="290"/>
      <c r="L44" s="282"/>
    </row>
    <row r="46" spans="1:15" x14ac:dyDescent="0.3">
      <c r="A46" s="185"/>
      <c r="D46" s="24" t="s">
        <v>316</v>
      </c>
      <c r="E46" s="41">
        <f>J42</f>
        <v>1342</v>
      </c>
      <c r="G46" s="185"/>
    </row>
    <row r="47" spans="1:15" x14ac:dyDescent="0.3">
      <c r="A47" s="185"/>
      <c r="G47" s="185"/>
    </row>
    <row r="48" spans="1:15" x14ac:dyDescent="0.3">
      <c r="A48" s="185"/>
      <c r="G48" s="185"/>
    </row>
    <row r="49" spans="1:12" x14ac:dyDescent="0.3">
      <c r="D49" s="24" t="s">
        <v>316</v>
      </c>
      <c r="E49" s="41">
        <f>K42</f>
        <v>836.60869565217388</v>
      </c>
    </row>
    <row r="51" spans="1:12" x14ac:dyDescent="0.3">
      <c r="G51" s="24" t="s">
        <v>569</v>
      </c>
      <c r="H51" s="24" t="s">
        <v>316</v>
      </c>
      <c r="I51" s="24">
        <v>23</v>
      </c>
    </row>
    <row r="52" spans="1:12" x14ac:dyDescent="0.3">
      <c r="D52" s="24" t="s">
        <v>316</v>
      </c>
      <c r="E52" s="41">
        <f>O42</f>
        <v>2178.608695652174</v>
      </c>
      <c r="F52" s="41">
        <f>SUM(E46+E49)</f>
        <v>2178.608695652174</v>
      </c>
    </row>
    <row r="53" spans="1:12" x14ac:dyDescent="0.3">
      <c r="G53" s="24" t="s">
        <v>736</v>
      </c>
      <c r="H53" s="24" t="s">
        <v>316</v>
      </c>
      <c r="I53"/>
      <c r="J53" s="24" t="s">
        <v>316</v>
      </c>
      <c r="K53" s="24">
        <f>E49/(4-1)</f>
        <v>278.86956521739131</v>
      </c>
    </row>
    <row r="55" spans="1:12" ht="18" x14ac:dyDescent="0.3">
      <c r="H55" s="24" t="s">
        <v>316</v>
      </c>
      <c r="I55" s="24" t="s">
        <v>743</v>
      </c>
      <c r="J55" s="24" t="s">
        <v>316</v>
      </c>
      <c r="K55" s="24">
        <f>FINV(0.05,3,19)</f>
        <v>3.1273500051133998</v>
      </c>
      <c r="L55" s="24" t="s">
        <v>742</v>
      </c>
    </row>
    <row r="56" spans="1:12" ht="16.2" thickBot="1" x14ac:dyDescent="0.35"/>
    <row r="57" spans="1:12" ht="16.2" thickBot="1" x14ac:dyDescent="0.35">
      <c r="A57" s="240" t="s">
        <v>751</v>
      </c>
      <c r="B57" s="241"/>
      <c r="C57" s="191" t="s">
        <v>752</v>
      </c>
      <c r="D57" s="191" t="s">
        <v>753</v>
      </c>
      <c r="E57" s="191" t="s">
        <v>754</v>
      </c>
      <c r="F57" s="58" t="s">
        <v>755</v>
      </c>
    </row>
    <row r="58" spans="1:12" x14ac:dyDescent="0.3">
      <c r="A58" s="355" t="s">
        <v>756</v>
      </c>
      <c r="B58" s="355"/>
      <c r="C58" s="24">
        <f>E49</f>
        <v>836.60869565217388</v>
      </c>
      <c r="D58" s="24">
        <v>3</v>
      </c>
      <c r="E58" s="24">
        <f>C58/D58</f>
        <v>278.86956521739131</v>
      </c>
      <c r="F58" s="24">
        <f>K55</f>
        <v>3.1273500051133998</v>
      </c>
    </row>
    <row r="59" spans="1:12" x14ac:dyDescent="0.3">
      <c r="A59" s="355" t="s">
        <v>757</v>
      </c>
      <c r="B59" s="355"/>
      <c r="C59" s="24">
        <f>E46</f>
        <v>1342</v>
      </c>
      <c r="D59" s="24">
        <v>19</v>
      </c>
      <c r="E59" s="24">
        <f>C59/D59</f>
        <v>70.631578947368425</v>
      </c>
    </row>
    <row r="60" spans="1:12" ht="16.2" thickBot="1" x14ac:dyDescent="0.35">
      <c r="A60" s="356" t="s">
        <v>98</v>
      </c>
      <c r="B60" s="356"/>
      <c r="C60" s="192">
        <f>E52</f>
        <v>2178.608695652174</v>
      </c>
      <c r="D60" s="192">
        <f>SUM(D58:D59)</f>
        <v>22</v>
      </c>
      <c r="E60" s="192"/>
      <c r="F60" s="192"/>
    </row>
    <row r="61" spans="1:12" x14ac:dyDescent="0.3">
      <c r="G61" s="243" t="s">
        <v>745</v>
      </c>
      <c r="H61" s="348"/>
      <c r="I61" s="348"/>
      <c r="J61" s="348"/>
      <c r="K61" s="348"/>
      <c r="L61" s="349"/>
    </row>
    <row r="62" spans="1:12" x14ac:dyDescent="0.3">
      <c r="G62" s="244"/>
      <c r="H62" s="252"/>
      <c r="I62" s="252"/>
      <c r="J62" s="252"/>
      <c r="K62" s="252"/>
      <c r="L62" s="350"/>
    </row>
    <row r="63" spans="1:12" x14ac:dyDescent="0.3">
      <c r="G63" s="351"/>
      <c r="H63" s="352"/>
      <c r="I63" s="352"/>
      <c r="J63" s="352"/>
      <c r="K63" s="352"/>
      <c r="L63" s="353"/>
    </row>
    <row r="93" spans="1:12" ht="16.2" thickBot="1" x14ac:dyDescent="0.35"/>
    <row r="94" spans="1:12" ht="18" thickBot="1" x14ac:dyDescent="0.35">
      <c r="A94" s="357" t="s">
        <v>15</v>
      </c>
      <c r="B94" s="358"/>
      <c r="C94" s="358"/>
      <c r="D94" s="358"/>
      <c r="E94" s="358"/>
      <c r="F94" s="358"/>
      <c r="G94" s="358"/>
      <c r="H94" s="358"/>
      <c r="I94" s="358"/>
      <c r="J94" s="358"/>
      <c r="K94" s="358"/>
      <c r="L94" s="359"/>
    </row>
    <row r="95" spans="1:12" ht="46.8" x14ac:dyDescent="0.3">
      <c r="A95" s="25"/>
      <c r="B95" s="25" t="s">
        <v>746</v>
      </c>
      <c r="C95" s="25" t="s">
        <v>747</v>
      </c>
      <c r="D95" s="25" t="s">
        <v>748</v>
      </c>
      <c r="E95" s="24" t="s">
        <v>734</v>
      </c>
      <c r="F95" s="354"/>
      <c r="G95" s="354"/>
      <c r="H95" s="354"/>
      <c r="I95"/>
      <c r="J95" s="354"/>
      <c r="K95" s="354"/>
      <c r="L95" s="354"/>
    </row>
    <row r="96" spans="1:12" x14ac:dyDescent="0.3">
      <c r="A96" s="24">
        <v>1</v>
      </c>
      <c r="B96" s="24">
        <v>18</v>
      </c>
      <c r="C96" s="24">
        <v>20.100000000000001</v>
      </c>
      <c r="D96" s="24">
        <v>19.3</v>
      </c>
      <c r="E96" s="24">
        <f>AVERAGE(B96:D96)</f>
        <v>19.133333333333336</v>
      </c>
      <c r="F96" s="24">
        <f>(B96-$B$101)^2</f>
        <v>0.36000000000000171</v>
      </c>
      <c r="G96" s="24">
        <f>(C96-$C$101)^2</f>
        <v>12.959999999999985</v>
      </c>
      <c r="H96" s="24">
        <f>(D96-$D$101)^2</f>
        <v>4</v>
      </c>
      <c r="I96" s="24">
        <f>5*(B101-$E$101)^2</f>
        <v>0.55555555555555158</v>
      </c>
      <c r="J96" s="24">
        <f t="shared" ref="J96:L100" si="14">(B96-$E$101)^2</f>
        <v>0.8711111111111115</v>
      </c>
      <c r="K96" s="24">
        <f t="shared" si="14"/>
        <v>9.2011111111111212</v>
      </c>
      <c r="L96" s="24">
        <f t="shared" si="14"/>
        <v>4.9877777777777821</v>
      </c>
    </row>
    <row r="97" spans="1:12" x14ac:dyDescent="0.3">
      <c r="A97" s="24">
        <v>2</v>
      </c>
      <c r="B97" s="24">
        <v>17.600000000000001</v>
      </c>
      <c r="C97" s="24">
        <v>15.6</v>
      </c>
      <c r="D97" s="24">
        <v>17.399999999999999</v>
      </c>
      <c r="E97" s="24">
        <f t="shared" ref="E97:E100" si="15">AVERAGE(B97:D97)</f>
        <v>16.866666666666667</v>
      </c>
      <c r="F97" s="24">
        <f>(B97-$B$101)^2</f>
        <v>4.0000000000001139E-2</v>
      </c>
      <c r="G97" s="24">
        <f>(C97-$C$101)^2</f>
        <v>0.81000000000000705</v>
      </c>
      <c r="H97" s="24">
        <f>(D97-$D$101)^2</f>
        <v>9.9999999999995735E-3</v>
      </c>
      <c r="I97" s="24">
        <f>5*(C101-$E$101)^2</f>
        <v>1.6055555555555339</v>
      </c>
      <c r="J97" s="24">
        <f t="shared" si="14"/>
        <v>0.28444444444444622</v>
      </c>
      <c r="K97" s="24">
        <f t="shared" si="14"/>
        <v>2.1511111111111116</v>
      </c>
      <c r="L97" s="24">
        <f t="shared" si="14"/>
        <v>0.11111111111111033</v>
      </c>
    </row>
    <row r="98" spans="1:12" x14ac:dyDescent="0.3">
      <c r="A98" s="24">
        <v>3</v>
      </c>
      <c r="B98" s="24">
        <v>15.4</v>
      </c>
      <c r="C98" s="24">
        <v>16.100000000000001</v>
      </c>
      <c r="D98" s="24">
        <v>15.1</v>
      </c>
      <c r="E98" s="24">
        <f t="shared" si="15"/>
        <v>15.533333333333333</v>
      </c>
      <c r="F98" s="24">
        <f>(B98-$B$101)^2</f>
        <v>3.9999999999999929</v>
      </c>
      <c r="G98" s="24">
        <f>(C98-$C$101)^2</f>
        <v>0.1600000000000017</v>
      </c>
      <c r="H98" s="24">
        <f>(D98-$D$101)^2</f>
        <v>4.8400000000000043</v>
      </c>
      <c r="I98" s="24">
        <f>5*(D101-$E$101)^2</f>
        <v>0.27222222222222442</v>
      </c>
      <c r="J98" s="24">
        <f t="shared" si="14"/>
        <v>2.7777777777777759</v>
      </c>
      <c r="K98" s="24">
        <f t="shared" si="14"/>
        <v>0.93444444444444119</v>
      </c>
      <c r="L98" s="24">
        <f t="shared" si="14"/>
        <v>3.8677777777777784</v>
      </c>
    </row>
    <row r="99" spans="1:12" x14ac:dyDescent="0.3">
      <c r="A99" s="24">
        <v>4</v>
      </c>
      <c r="B99" s="24">
        <v>19.100000000000001</v>
      </c>
      <c r="C99" s="24">
        <v>15.3</v>
      </c>
      <c r="D99" s="24">
        <v>18.600000000000001</v>
      </c>
      <c r="E99" s="24">
        <f t="shared" si="15"/>
        <v>17.666666666666668</v>
      </c>
      <c r="F99" s="24">
        <f>(B99-$B$101)^2</f>
        <v>2.8900000000000095</v>
      </c>
      <c r="G99" s="24">
        <f>(C99-$C$101)^2</f>
        <v>1.4400000000000068</v>
      </c>
      <c r="H99" s="24">
        <f>(D99-$D$101)^2</f>
        <v>1.6900000000000019</v>
      </c>
      <c r="J99" s="24">
        <f t="shared" si="14"/>
        <v>4.1344444444444512</v>
      </c>
      <c r="K99" s="24">
        <f t="shared" si="14"/>
        <v>3.1211111111111078</v>
      </c>
      <c r="L99" s="24">
        <f t="shared" si="14"/>
        <v>2.3511111111111163</v>
      </c>
    </row>
    <row r="100" spans="1:12" x14ac:dyDescent="0.3">
      <c r="A100" s="24">
        <v>5</v>
      </c>
      <c r="B100" s="24">
        <v>16.899999999999999</v>
      </c>
      <c r="C100" s="24">
        <v>15.4</v>
      </c>
      <c r="D100" s="24">
        <v>16.100000000000001</v>
      </c>
      <c r="E100" s="24">
        <f t="shared" si="15"/>
        <v>16.133333333333333</v>
      </c>
      <c r="F100" s="24">
        <f>(B100-$B$101)^2</f>
        <v>0.25</v>
      </c>
      <c r="G100" s="24">
        <f>(C100-$C$101)^2</f>
        <v>1.2100000000000071</v>
      </c>
      <c r="H100" s="24">
        <f>(D100-$D$101)^2</f>
        <v>1.4399999999999984</v>
      </c>
      <c r="J100" s="24">
        <f t="shared" si="14"/>
        <v>2.7777777777778172E-2</v>
      </c>
      <c r="K100" s="24">
        <f t="shared" si="14"/>
        <v>2.7777777777777759</v>
      </c>
      <c r="L100" s="24">
        <f t="shared" si="14"/>
        <v>0.93444444444444119</v>
      </c>
    </row>
    <row r="101" spans="1:12" ht="46.8" x14ac:dyDescent="0.3">
      <c r="A101" s="24" t="s">
        <v>735</v>
      </c>
      <c r="B101" s="24">
        <f>AVERAGE(B96:B100)</f>
        <v>17.399999999999999</v>
      </c>
      <c r="C101" s="24">
        <f>AVERAGE(C96:C100)</f>
        <v>16.500000000000004</v>
      </c>
      <c r="D101" s="24">
        <f>AVERAGE(D96:D100)</f>
        <v>17.3</v>
      </c>
      <c r="E101" s="52">
        <f>SUM(B96:D100)/15</f>
        <v>17.066666666666666</v>
      </c>
      <c r="G101" s="24" t="s">
        <v>98</v>
      </c>
      <c r="H101" s="24">
        <f>SUM(F96:H100)</f>
        <v>36.100000000000016</v>
      </c>
      <c r="I101" s="24">
        <f>SUM(I96:I100)</f>
        <v>2.43333333333331</v>
      </c>
      <c r="L101" s="24">
        <f>SUM(J96:L100)</f>
        <v>38.533333333333353</v>
      </c>
    </row>
    <row r="103" spans="1:12" x14ac:dyDescent="0.3">
      <c r="A103" s="260" t="s">
        <v>53</v>
      </c>
      <c r="B103" s="260"/>
      <c r="C103" s="260"/>
      <c r="D103" s="260"/>
      <c r="E103" s="260"/>
      <c r="F103" s="260"/>
      <c r="G103" s="290" t="s">
        <v>54</v>
      </c>
      <c r="H103" s="290"/>
      <c r="I103" s="290"/>
      <c r="J103" s="290"/>
      <c r="K103" s="290"/>
      <c r="L103" s="282"/>
    </row>
    <row r="105" spans="1:12" x14ac:dyDescent="0.3">
      <c r="A105" s="185"/>
      <c r="D105" s="24" t="s">
        <v>316</v>
      </c>
      <c r="E105" s="41">
        <f>H101</f>
        <v>36.100000000000016</v>
      </c>
      <c r="G105" s="185"/>
    </row>
    <row r="106" spans="1:12" x14ac:dyDescent="0.3">
      <c r="A106" s="185"/>
      <c r="G106" s="185"/>
    </row>
    <row r="107" spans="1:12" x14ac:dyDescent="0.3">
      <c r="A107" s="185"/>
      <c r="G107" s="185"/>
    </row>
    <row r="108" spans="1:12" x14ac:dyDescent="0.3">
      <c r="D108" s="24" t="s">
        <v>316</v>
      </c>
      <c r="E108" s="41">
        <f>I101</f>
        <v>2.43333333333331</v>
      </c>
    </row>
    <row r="110" spans="1:12" x14ac:dyDescent="0.3">
      <c r="G110" s="24" t="s">
        <v>569</v>
      </c>
      <c r="H110" s="24" t="s">
        <v>316</v>
      </c>
      <c r="I110" s="24">
        <f>6+5+5</f>
        <v>16</v>
      </c>
    </row>
    <row r="111" spans="1:12" x14ac:dyDescent="0.3">
      <c r="D111" s="24" t="s">
        <v>316</v>
      </c>
      <c r="E111" s="41">
        <f>L101</f>
        <v>38.533333333333353</v>
      </c>
      <c r="F111" s="41">
        <f>SUM(E105+E108)</f>
        <v>38.533333333333324</v>
      </c>
    </row>
    <row r="112" spans="1:12" x14ac:dyDescent="0.3">
      <c r="G112" s="24" t="s">
        <v>736</v>
      </c>
      <c r="H112" s="24" t="s">
        <v>316</v>
      </c>
      <c r="I112"/>
      <c r="J112" s="24" t="s">
        <v>316</v>
      </c>
      <c r="K112" s="24">
        <f>E108/(3-1)</f>
        <v>1.216666666666655</v>
      </c>
    </row>
    <row r="114" spans="1:12" ht="18" x14ac:dyDescent="0.3">
      <c r="H114" s="24" t="s">
        <v>316</v>
      </c>
      <c r="I114" s="24" t="s">
        <v>749</v>
      </c>
      <c r="J114" s="24" t="s">
        <v>316</v>
      </c>
      <c r="K114" s="24">
        <f>FINV(0.05,2,12)</f>
        <v>3.8852938346523942</v>
      </c>
      <c r="L114" s="24" t="s">
        <v>742</v>
      </c>
    </row>
    <row r="115" spans="1:12" ht="16.2" thickBot="1" x14ac:dyDescent="0.35"/>
    <row r="116" spans="1:12" ht="16.2" thickBot="1" x14ac:dyDescent="0.35">
      <c r="A116" s="240" t="s">
        <v>751</v>
      </c>
      <c r="B116" s="241"/>
      <c r="C116" s="191" t="s">
        <v>752</v>
      </c>
      <c r="D116" s="191" t="s">
        <v>753</v>
      </c>
      <c r="E116" s="191" t="s">
        <v>754</v>
      </c>
      <c r="F116" s="58" t="s">
        <v>755</v>
      </c>
    </row>
    <row r="117" spans="1:12" x14ac:dyDescent="0.3">
      <c r="A117" s="355" t="s">
        <v>756</v>
      </c>
      <c r="B117" s="355"/>
      <c r="C117" s="24">
        <f>E108</f>
        <v>2.43333333333331</v>
      </c>
      <c r="D117" s="24">
        <f>2</f>
        <v>2</v>
      </c>
      <c r="E117" s="24">
        <f>C117/D117</f>
        <v>1.216666666666655</v>
      </c>
      <c r="F117" s="24">
        <f>K114</f>
        <v>3.8852938346523942</v>
      </c>
    </row>
    <row r="118" spans="1:12" x14ac:dyDescent="0.3">
      <c r="A118" s="355" t="s">
        <v>757</v>
      </c>
      <c r="B118" s="355"/>
      <c r="C118" s="24">
        <f>E105</f>
        <v>36.100000000000016</v>
      </c>
      <c r="D118" s="24">
        <f>13</f>
        <v>13</v>
      </c>
      <c r="E118" s="24">
        <f>C118/D118</f>
        <v>2.7769230769230782</v>
      </c>
    </row>
    <row r="119" spans="1:12" ht="16.2" thickBot="1" x14ac:dyDescent="0.35">
      <c r="A119" s="356" t="s">
        <v>98</v>
      </c>
      <c r="B119" s="356"/>
      <c r="C119" s="192">
        <f>E111</f>
        <v>38.533333333333353</v>
      </c>
      <c r="D119" s="192">
        <f>SUM(D117:D118)</f>
        <v>15</v>
      </c>
      <c r="E119" s="192"/>
      <c r="F119" s="192"/>
    </row>
    <row r="120" spans="1:12" x14ac:dyDescent="0.3">
      <c r="G120" s="243" t="s">
        <v>750</v>
      </c>
      <c r="H120" s="348"/>
      <c r="I120" s="348"/>
      <c r="J120" s="348"/>
      <c r="K120" s="348"/>
      <c r="L120" s="349"/>
    </row>
    <row r="121" spans="1:12" x14ac:dyDescent="0.3">
      <c r="G121" s="244"/>
      <c r="H121" s="252"/>
      <c r="I121" s="252"/>
      <c r="J121" s="252"/>
      <c r="K121" s="252"/>
      <c r="L121" s="350"/>
    </row>
    <row r="122" spans="1:12" x14ac:dyDescent="0.3">
      <c r="G122" s="351"/>
      <c r="H122" s="352"/>
      <c r="I122" s="352"/>
      <c r="J122" s="352"/>
      <c r="K122" s="352"/>
      <c r="L122" s="353"/>
    </row>
    <row r="153" spans="1:12" ht="16.2" thickBot="1" x14ac:dyDescent="0.35"/>
    <row r="154" spans="1:12" ht="18" thickBot="1" x14ac:dyDescent="0.35">
      <c r="A154" s="357" t="s">
        <v>19</v>
      </c>
      <c r="B154" s="358"/>
      <c r="C154" s="358"/>
      <c r="D154" s="358"/>
      <c r="E154" s="358"/>
      <c r="F154" s="358"/>
      <c r="G154" s="358"/>
      <c r="H154" s="358"/>
      <c r="I154" s="358"/>
      <c r="J154" s="358"/>
      <c r="K154" s="358"/>
      <c r="L154" s="359"/>
    </row>
    <row r="155" spans="1:12" ht="46.8" x14ac:dyDescent="0.3">
      <c r="A155" s="25"/>
      <c r="B155" s="25" t="s">
        <v>746</v>
      </c>
      <c r="C155" s="25" t="s">
        <v>747</v>
      </c>
      <c r="D155" s="25" t="s">
        <v>748</v>
      </c>
      <c r="E155" s="24" t="s">
        <v>734</v>
      </c>
      <c r="F155" s="354"/>
      <c r="G155" s="354"/>
      <c r="H155" s="354"/>
      <c r="I155"/>
      <c r="J155" s="354"/>
      <c r="K155" s="354"/>
      <c r="L155" s="354"/>
    </row>
    <row r="156" spans="1:12" x14ac:dyDescent="0.3">
      <c r="A156" s="24">
        <v>1</v>
      </c>
      <c r="B156" s="24">
        <v>18</v>
      </c>
      <c r="C156" s="24">
        <v>20.100000000000001</v>
      </c>
      <c r="D156" s="24">
        <v>19.3</v>
      </c>
      <c r="E156" s="24">
        <f>AVERAGE(B156:D156)</f>
        <v>19.133333333333336</v>
      </c>
      <c r="F156" s="24">
        <f>(B156-$B$101)^2</f>
        <v>0.36000000000000171</v>
      </c>
      <c r="G156" s="24">
        <f>(C156-$C$101)^2</f>
        <v>12.959999999999985</v>
      </c>
      <c r="H156" s="24">
        <f>(D156-$D$101)^2</f>
        <v>4</v>
      </c>
      <c r="I156" s="24">
        <f>5*(B161-$E$101)^2</f>
        <v>0.55555555555555158</v>
      </c>
      <c r="J156" s="24">
        <f t="shared" ref="J156:L160" si="16">(B156-$E$101)^2</f>
        <v>0.8711111111111115</v>
      </c>
      <c r="K156" s="24">
        <f t="shared" si="16"/>
        <v>9.2011111111111212</v>
      </c>
      <c r="L156" s="24">
        <f t="shared" si="16"/>
        <v>4.9877777777777821</v>
      </c>
    </row>
    <row r="157" spans="1:12" x14ac:dyDescent="0.3">
      <c r="A157" s="24">
        <v>2</v>
      </c>
      <c r="B157" s="24">
        <v>17.600000000000001</v>
      </c>
      <c r="C157" s="24">
        <v>15.6</v>
      </c>
      <c r="D157" s="24">
        <v>17.399999999999999</v>
      </c>
      <c r="E157" s="24">
        <f t="shared" ref="E157:E160" si="17">AVERAGE(B157:D157)</f>
        <v>16.866666666666667</v>
      </c>
      <c r="F157" s="24">
        <f>(B157-$B$101)^2</f>
        <v>4.0000000000001139E-2</v>
      </c>
      <c r="G157" s="24">
        <f>(C157-$C$101)^2</f>
        <v>0.81000000000000705</v>
      </c>
      <c r="H157" s="24">
        <f>(D157-$D$101)^2</f>
        <v>9.9999999999995735E-3</v>
      </c>
      <c r="I157" s="24">
        <f>5*(C161-$E$101)^2</f>
        <v>1.6055555555555339</v>
      </c>
      <c r="J157" s="24">
        <f t="shared" si="16"/>
        <v>0.28444444444444622</v>
      </c>
      <c r="K157" s="24">
        <f t="shared" si="16"/>
        <v>2.1511111111111116</v>
      </c>
      <c r="L157" s="24">
        <f t="shared" si="16"/>
        <v>0.11111111111111033</v>
      </c>
    </row>
    <row r="158" spans="1:12" x14ac:dyDescent="0.3">
      <c r="A158" s="24">
        <v>3</v>
      </c>
      <c r="B158" s="24">
        <v>15.4</v>
      </c>
      <c r="C158" s="24">
        <v>16.100000000000001</v>
      </c>
      <c r="D158" s="24">
        <v>15.1</v>
      </c>
      <c r="E158" s="24">
        <f t="shared" si="17"/>
        <v>15.533333333333333</v>
      </c>
      <c r="F158" s="24">
        <f>(B158-$B$101)^2</f>
        <v>3.9999999999999929</v>
      </c>
      <c r="G158" s="24">
        <f>(C158-$C$101)^2</f>
        <v>0.1600000000000017</v>
      </c>
      <c r="H158" s="24">
        <f>(D158-$D$101)^2</f>
        <v>4.8400000000000043</v>
      </c>
      <c r="I158" s="24">
        <f>5*(D161-$E$101)^2</f>
        <v>0.27222222222222442</v>
      </c>
      <c r="J158" s="24">
        <f t="shared" si="16"/>
        <v>2.7777777777777759</v>
      </c>
      <c r="K158" s="24">
        <f t="shared" si="16"/>
        <v>0.93444444444444119</v>
      </c>
      <c r="L158" s="24">
        <f t="shared" si="16"/>
        <v>3.8677777777777784</v>
      </c>
    </row>
    <row r="159" spans="1:12" x14ac:dyDescent="0.3">
      <c r="A159" s="24">
        <v>4</v>
      </c>
      <c r="B159" s="24">
        <v>19.100000000000001</v>
      </c>
      <c r="C159" s="24">
        <v>15.3</v>
      </c>
      <c r="D159" s="24">
        <v>18.600000000000001</v>
      </c>
      <c r="E159" s="24">
        <f t="shared" si="17"/>
        <v>17.666666666666668</v>
      </c>
      <c r="F159" s="24">
        <f>(B159-$B$101)^2</f>
        <v>2.8900000000000095</v>
      </c>
      <c r="G159" s="24">
        <f>(C159-$C$101)^2</f>
        <v>1.4400000000000068</v>
      </c>
      <c r="H159" s="24">
        <f>(D159-$D$101)^2</f>
        <v>1.6900000000000019</v>
      </c>
      <c r="J159" s="24">
        <f t="shared" si="16"/>
        <v>4.1344444444444512</v>
      </c>
      <c r="K159" s="24">
        <f t="shared" si="16"/>
        <v>3.1211111111111078</v>
      </c>
      <c r="L159" s="24">
        <f t="shared" si="16"/>
        <v>2.3511111111111163</v>
      </c>
    </row>
    <row r="160" spans="1:12" x14ac:dyDescent="0.3">
      <c r="A160" s="24">
        <v>5</v>
      </c>
      <c r="B160" s="24">
        <v>16.899999999999999</v>
      </c>
      <c r="C160" s="24">
        <v>15.4</v>
      </c>
      <c r="D160" s="24">
        <v>16.100000000000001</v>
      </c>
      <c r="E160" s="24">
        <f t="shared" si="17"/>
        <v>16.133333333333333</v>
      </c>
      <c r="F160" s="24">
        <f>(B160-$B$101)^2</f>
        <v>0.25</v>
      </c>
      <c r="G160" s="24">
        <f>(C160-$C$101)^2</f>
        <v>1.2100000000000071</v>
      </c>
      <c r="H160" s="24">
        <f>(D160-$D$101)^2</f>
        <v>1.4399999999999984</v>
      </c>
      <c r="J160" s="24">
        <f t="shared" si="16"/>
        <v>2.7777777777778172E-2</v>
      </c>
      <c r="K160" s="24">
        <f t="shared" si="16"/>
        <v>2.7777777777777759</v>
      </c>
      <c r="L160" s="24">
        <f t="shared" si="16"/>
        <v>0.93444444444444119</v>
      </c>
    </row>
    <row r="161" spans="1:12" ht="46.8" x14ac:dyDescent="0.3">
      <c r="A161" s="24" t="s">
        <v>735</v>
      </c>
      <c r="B161" s="24">
        <f>AVERAGE(B156:B160)</f>
        <v>17.399999999999999</v>
      </c>
      <c r="C161" s="24">
        <f>AVERAGE(C156:C160)</f>
        <v>16.500000000000004</v>
      </c>
      <c r="D161" s="24">
        <f>AVERAGE(D156:D160)</f>
        <v>17.3</v>
      </c>
      <c r="E161" s="52">
        <f>SUM(B156:D160)/15</f>
        <v>17.066666666666666</v>
      </c>
      <c r="G161" s="24" t="s">
        <v>98</v>
      </c>
      <c r="H161" s="24">
        <f>SUM(F156:H160)</f>
        <v>36.100000000000016</v>
      </c>
      <c r="I161" s="24">
        <f>SUM(I156:I160)</f>
        <v>2.43333333333331</v>
      </c>
      <c r="L161" s="24">
        <f>SUM(J156:L160)</f>
        <v>38.533333333333353</v>
      </c>
    </row>
    <row r="163" spans="1:12" x14ac:dyDescent="0.3">
      <c r="A163" s="260" t="s">
        <v>53</v>
      </c>
      <c r="B163" s="260"/>
      <c r="C163" s="260"/>
      <c r="D163" s="260"/>
      <c r="E163" s="260"/>
      <c r="F163" s="260"/>
      <c r="G163" s="290" t="s">
        <v>54</v>
      </c>
      <c r="H163" s="290"/>
      <c r="I163" s="290"/>
      <c r="J163" s="290"/>
      <c r="K163" s="290"/>
      <c r="L163" s="282"/>
    </row>
    <row r="165" spans="1:12" x14ac:dyDescent="0.3">
      <c r="A165" s="185"/>
      <c r="D165" s="24" t="s">
        <v>316</v>
      </c>
      <c r="E165" s="41">
        <f>H161</f>
        <v>36.100000000000016</v>
      </c>
      <c r="G165" s="185"/>
    </row>
    <row r="166" spans="1:12" x14ac:dyDescent="0.3">
      <c r="A166" s="185"/>
      <c r="G166" s="185"/>
    </row>
    <row r="167" spans="1:12" x14ac:dyDescent="0.3">
      <c r="A167" s="185"/>
      <c r="G167" s="185"/>
    </row>
    <row r="168" spans="1:12" x14ac:dyDescent="0.3">
      <c r="D168" s="24" t="s">
        <v>316</v>
      </c>
      <c r="E168" s="41">
        <f>I161</f>
        <v>2.43333333333331</v>
      </c>
    </row>
    <row r="170" spans="1:12" x14ac:dyDescent="0.3">
      <c r="G170" s="24" t="s">
        <v>569</v>
      </c>
      <c r="H170" s="24" t="s">
        <v>316</v>
      </c>
      <c r="I170" s="24">
        <f>6+5+5</f>
        <v>16</v>
      </c>
    </row>
    <row r="171" spans="1:12" x14ac:dyDescent="0.3">
      <c r="D171" s="24" t="s">
        <v>316</v>
      </c>
      <c r="E171" s="41">
        <f>L161</f>
        <v>38.533333333333353</v>
      </c>
      <c r="F171" s="41">
        <f>SUM(E165+E168)</f>
        <v>38.533333333333324</v>
      </c>
    </row>
    <row r="172" spans="1:12" x14ac:dyDescent="0.3">
      <c r="G172" s="24" t="s">
        <v>736</v>
      </c>
      <c r="H172" s="24" t="s">
        <v>316</v>
      </c>
      <c r="I172"/>
      <c r="J172" s="24" t="s">
        <v>316</v>
      </c>
      <c r="K172" s="24">
        <f>E168/(3-1)</f>
        <v>1.216666666666655</v>
      </c>
    </row>
    <row r="174" spans="1:12" ht="18" x14ac:dyDescent="0.3">
      <c r="H174" s="24" t="s">
        <v>316</v>
      </c>
      <c r="I174" s="24" t="s">
        <v>749</v>
      </c>
      <c r="J174" s="24" t="s">
        <v>316</v>
      </c>
      <c r="K174" s="24">
        <f>FINV(0.05,2,12)</f>
        <v>3.8852938346523942</v>
      </c>
      <c r="L174" s="24" t="s">
        <v>742</v>
      </c>
    </row>
    <row r="175" spans="1:12" ht="16.2" thickBot="1" x14ac:dyDescent="0.35"/>
    <row r="176" spans="1:12" ht="16.2" thickBot="1" x14ac:dyDescent="0.35">
      <c r="A176" s="240" t="s">
        <v>751</v>
      </c>
      <c r="B176" s="241"/>
      <c r="C176" s="191" t="s">
        <v>752</v>
      </c>
      <c r="D176" s="191" t="s">
        <v>753</v>
      </c>
      <c r="E176" s="191" t="s">
        <v>754</v>
      </c>
      <c r="F176" s="58" t="s">
        <v>755</v>
      </c>
    </row>
    <row r="177" spans="1:12" x14ac:dyDescent="0.3">
      <c r="A177" s="355" t="s">
        <v>756</v>
      </c>
      <c r="B177" s="355"/>
      <c r="C177" s="24">
        <f>E168</f>
        <v>2.43333333333331</v>
      </c>
      <c r="D177" s="24">
        <f>2</f>
        <v>2</v>
      </c>
      <c r="E177" s="24">
        <f>C177/D177</f>
        <v>1.216666666666655</v>
      </c>
      <c r="F177" s="24">
        <f>K174</f>
        <v>3.8852938346523942</v>
      </c>
    </row>
    <row r="178" spans="1:12" x14ac:dyDescent="0.3">
      <c r="A178" s="355" t="s">
        <v>757</v>
      </c>
      <c r="B178" s="355"/>
      <c r="C178" s="24">
        <f>E165</f>
        <v>36.100000000000016</v>
      </c>
      <c r="D178" s="24">
        <f>13</f>
        <v>13</v>
      </c>
      <c r="E178" s="24">
        <f>C178/D178</f>
        <v>2.7769230769230782</v>
      </c>
    </row>
    <row r="179" spans="1:12" ht="16.2" thickBot="1" x14ac:dyDescent="0.35">
      <c r="A179" s="356" t="s">
        <v>98</v>
      </c>
      <c r="B179" s="356"/>
      <c r="C179" s="192">
        <f>E171</f>
        <v>38.533333333333353</v>
      </c>
      <c r="D179" s="192">
        <f>SUM(D177:D178)</f>
        <v>15</v>
      </c>
      <c r="E179" s="192"/>
      <c r="F179" s="192"/>
    </row>
    <row r="180" spans="1:12" x14ac:dyDescent="0.3">
      <c r="G180" s="243" t="s">
        <v>750</v>
      </c>
      <c r="H180" s="348"/>
      <c r="I180" s="348"/>
      <c r="J180" s="348"/>
      <c r="K180" s="348"/>
      <c r="L180" s="349"/>
    </row>
    <row r="181" spans="1:12" x14ac:dyDescent="0.3">
      <c r="G181" s="244"/>
      <c r="H181" s="252"/>
      <c r="I181" s="252"/>
      <c r="J181" s="252"/>
      <c r="K181" s="252"/>
      <c r="L181" s="350"/>
    </row>
    <row r="182" spans="1:12" x14ac:dyDescent="0.3">
      <c r="G182" s="351"/>
      <c r="H182" s="352"/>
      <c r="I182" s="352"/>
      <c r="J182" s="352"/>
      <c r="K182" s="352"/>
      <c r="L182" s="353"/>
    </row>
  </sheetData>
  <mergeCells count="40">
    <mergeCell ref="A1:L1"/>
    <mergeCell ref="G11:L11"/>
    <mergeCell ref="A11:F11"/>
    <mergeCell ref="G30:L32"/>
    <mergeCell ref="A34:L34"/>
    <mergeCell ref="F2:H2"/>
    <mergeCell ref="J2:L2"/>
    <mergeCell ref="A24:B24"/>
    <mergeCell ref="A25:B25"/>
    <mergeCell ref="A26:B26"/>
    <mergeCell ref="A27:B27"/>
    <mergeCell ref="G35:J35"/>
    <mergeCell ref="L35:O35"/>
    <mergeCell ref="A57:B57"/>
    <mergeCell ref="A117:B117"/>
    <mergeCell ref="A44:F44"/>
    <mergeCell ref="G44:L44"/>
    <mergeCell ref="A58:B58"/>
    <mergeCell ref="A59:B59"/>
    <mergeCell ref="A60:B60"/>
    <mergeCell ref="A154:L154"/>
    <mergeCell ref="G120:L122"/>
    <mergeCell ref="A116:B116"/>
    <mergeCell ref="G61:L63"/>
    <mergeCell ref="A118:B118"/>
    <mergeCell ref="A119:B119"/>
    <mergeCell ref="G103:L103"/>
    <mergeCell ref="A94:L94"/>
    <mergeCell ref="F95:H95"/>
    <mergeCell ref="J95:L95"/>
    <mergeCell ref="A103:F103"/>
    <mergeCell ref="G180:L182"/>
    <mergeCell ref="F155:H155"/>
    <mergeCell ref="J155:L155"/>
    <mergeCell ref="A163:F163"/>
    <mergeCell ref="G163:L163"/>
    <mergeCell ref="A176:B176"/>
    <mergeCell ref="A177:B177"/>
    <mergeCell ref="A178:B178"/>
    <mergeCell ref="A179:B17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D26" sqref="D26"/>
    </sheetView>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B29"/>
  <sheetViews>
    <sheetView zoomScale="60" zoomScaleNormal="60" workbookViewId="0">
      <selection activeCell="S29" sqref="S29"/>
    </sheetView>
  </sheetViews>
  <sheetFormatPr defaultRowHeight="14.4" x14ac:dyDescent="0.3"/>
  <sheetData>
    <row r="1" spans="1:28" ht="23.4" thickBot="1" x14ac:dyDescent="0.35">
      <c r="A1" s="144" t="s">
        <v>417</v>
      </c>
      <c r="B1" s="145" t="s">
        <v>431</v>
      </c>
      <c r="C1" s="144" t="s">
        <v>417</v>
      </c>
      <c r="D1" s="145" t="s">
        <v>431</v>
      </c>
      <c r="E1" s="144" t="s">
        <v>417</v>
      </c>
      <c r="F1" s="145" t="s">
        <v>431</v>
      </c>
      <c r="G1" s="144" t="s">
        <v>417</v>
      </c>
      <c r="H1" s="145" t="s">
        <v>431</v>
      </c>
      <c r="I1" s="144" t="s">
        <v>417</v>
      </c>
      <c r="J1" s="145" t="s">
        <v>431</v>
      </c>
      <c r="K1" s="144" t="s">
        <v>417</v>
      </c>
      <c r="L1" s="145" t="s">
        <v>431</v>
      </c>
      <c r="M1" s="144" t="s">
        <v>417</v>
      </c>
      <c r="N1" s="145" t="s">
        <v>431</v>
      </c>
      <c r="O1" s="144" t="s">
        <v>417</v>
      </c>
      <c r="P1" s="145" t="s">
        <v>431</v>
      </c>
      <c r="Q1" s="144" t="s">
        <v>417</v>
      </c>
      <c r="R1" s="145" t="s">
        <v>431</v>
      </c>
      <c r="S1" s="144" t="s">
        <v>417</v>
      </c>
      <c r="T1" s="145" t="s">
        <v>431</v>
      </c>
      <c r="U1" s="144" t="s">
        <v>417</v>
      </c>
      <c r="V1" s="145" t="s">
        <v>431</v>
      </c>
      <c r="W1" s="144" t="s">
        <v>417</v>
      </c>
      <c r="X1" s="145" t="s">
        <v>431</v>
      </c>
      <c r="Y1" s="144" t="s">
        <v>417</v>
      </c>
      <c r="Z1" s="145" t="s">
        <v>431</v>
      </c>
      <c r="AA1" s="144" t="s">
        <v>417</v>
      </c>
      <c r="AB1" s="145" t="s">
        <v>431</v>
      </c>
    </row>
    <row r="2" spans="1:28" ht="18" x14ac:dyDescent="0.35">
      <c r="A2" s="124">
        <v>0.01</v>
      </c>
      <c r="B2" s="125">
        <v>0.5039893563146316</v>
      </c>
      <c r="C2" s="124">
        <v>0.26</v>
      </c>
      <c r="D2" s="138">
        <v>0.60256811320176051</v>
      </c>
      <c r="E2" s="124">
        <v>0.51</v>
      </c>
      <c r="F2" s="125">
        <v>0.6949742691024805</v>
      </c>
      <c r="G2" s="124">
        <v>0.76</v>
      </c>
      <c r="H2" s="138">
        <v>0.77637270756240051</v>
      </c>
      <c r="I2" s="124">
        <v>1.01</v>
      </c>
      <c r="J2" s="125">
        <v>0.84375235497874534</v>
      </c>
      <c r="K2" s="142">
        <v>1.26</v>
      </c>
      <c r="L2" s="143">
        <v>0.89616531887869955</v>
      </c>
      <c r="M2" s="124">
        <v>1.51</v>
      </c>
      <c r="N2" s="125">
        <v>0.93447828791108356</v>
      </c>
      <c r="O2" s="142">
        <v>1.76</v>
      </c>
      <c r="P2" s="143">
        <v>0.96079609671251731</v>
      </c>
      <c r="Q2" s="124">
        <v>2.0099999999999998</v>
      </c>
      <c r="R2" s="125">
        <v>0.97778440557056834</v>
      </c>
      <c r="S2" s="142">
        <v>2.2599999999999998</v>
      </c>
      <c r="T2" s="143">
        <v>0.98808937458145296</v>
      </c>
      <c r="U2" s="124">
        <v>2.5099999999999998</v>
      </c>
      <c r="V2" s="125">
        <v>0.99396344191958752</v>
      </c>
      <c r="W2" s="142">
        <v>2.76</v>
      </c>
      <c r="X2" s="143">
        <v>0.99710993192377406</v>
      </c>
      <c r="Y2" s="124">
        <v>3.01</v>
      </c>
      <c r="Z2" s="125">
        <v>0.99869376155123057</v>
      </c>
      <c r="AA2" s="142">
        <v>3.26</v>
      </c>
      <c r="AB2" s="143">
        <v>0.99944293893097602</v>
      </c>
    </row>
    <row r="3" spans="1:28" ht="18" x14ac:dyDescent="0.35">
      <c r="A3" s="126">
        <v>0.02</v>
      </c>
      <c r="B3" s="127">
        <v>0.50797831371690194</v>
      </c>
      <c r="C3" s="132">
        <v>0.27</v>
      </c>
      <c r="D3" s="139">
        <v>0.60641987319803947</v>
      </c>
      <c r="E3" s="126">
        <v>0.52</v>
      </c>
      <c r="F3" s="127">
        <v>0.69846821245303381</v>
      </c>
      <c r="G3" s="132">
        <v>0.77</v>
      </c>
      <c r="H3" s="139">
        <v>0.77935005365735033</v>
      </c>
      <c r="I3" s="126">
        <v>1.02</v>
      </c>
      <c r="J3" s="127">
        <v>0.84613576962726511</v>
      </c>
      <c r="K3" s="132">
        <v>1.27</v>
      </c>
      <c r="L3" s="133">
        <v>0.89795768492518091</v>
      </c>
      <c r="M3" s="126">
        <v>1.52</v>
      </c>
      <c r="N3" s="127">
        <v>0.93574451218106414</v>
      </c>
      <c r="O3" s="132">
        <v>1.77</v>
      </c>
      <c r="P3" s="133">
        <v>0.96163642963712859</v>
      </c>
      <c r="Q3" s="126">
        <v>2.02</v>
      </c>
      <c r="R3" s="127">
        <v>0.97830830623235299</v>
      </c>
      <c r="S3" s="132">
        <v>2.27</v>
      </c>
      <c r="T3" s="133">
        <v>0.98839620847809651</v>
      </c>
      <c r="U3" s="126">
        <v>2.52</v>
      </c>
      <c r="V3" s="127">
        <v>0.99413225828466745</v>
      </c>
      <c r="W3" s="132">
        <v>2.77</v>
      </c>
      <c r="X3" s="133">
        <v>0.99719718536723501</v>
      </c>
      <c r="Y3" s="126">
        <v>3.02</v>
      </c>
      <c r="Z3" s="127">
        <v>0.99873612657232791</v>
      </c>
      <c r="AA3" s="132">
        <v>3.27</v>
      </c>
      <c r="AB3" s="133">
        <v>0.99946226257817039</v>
      </c>
    </row>
    <row r="4" spans="1:28" ht="18" x14ac:dyDescent="0.35">
      <c r="A4" s="128">
        <v>0.03</v>
      </c>
      <c r="B4" s="129">
        <v>0.51196647341411261</v>
      </c>
      <c r="C4" s="134">
        <v>0.28000000000000003</v>
      </c>
      <c r="D4" s="140">
        <v>0.61026124755579725</v>
      </c>
      <c r="E4" s="128">
        <v>0.53</v>
      </c>
      <c r="F4" s="129">
        <v>0.70194403460512356</v>
      </c>
      <c r="G4" s="134">
        <v>0.78</v>
      </c>
      <c r="H4" s="140">
        <v>0.78230456241426682</v>
      </c>
      <c r="I4" s="128">
        <v>1.03</v>
      </c>
      <c r="J4" s="129">
        <v>0.84849499721165622</v>
      </c>
      <c r="K4" s="134">
        <v>1.28</v>
      </c>
      <c r="L4" s="135">
        <v>0.89972743204555794</v>
      </c>
      <c r="M4" s="128">
        <v>1.53</v>
      </c>
      <c r="N4" s="129">
        <v>0.93699163553602149</v>
      </c>
      <c r="O4" s="134">
        <v>1.78</v>
      </c>
      <c r="P4" s="135">
        <v>0.96246201965148315</v>
      </c>
      <c r="Q4" s="128">
        <v>2.0299999999999998</v>
      </c>
      <c r="R4" s="129">
        <v>0.97882173035732767</v>
      </c>
      <c r="S4" s="134">
        <v>2.2799999999999998</v>
      </c>
      <c r="T4" s="135">
        <v>0.98869615576144709</v>
      </c>
      <c r="U4" s="128">
        <v>2.5299999999999998</v>
      </c>
      <c r="V4" s="129">
        <v>0.99429687366704944</v>
      </c>
      <c r="W4" s="134">
        <v>2.78</v>
      </c>
      <c r="X4" s="135">
        <v>0.9972820550772985</v>
      </c>
      <c r="Y4" s="128">
        <v>3.03</v>
      </c>
      <c r="Z4" s="129">
        <v>0.99877723130640783</v>
      </c>
      <c r="AA4" s="134">
        <v>3.28</v>
      </c>
      <c r="AB4" s="135">
        <v>0.99948096456679236</v>
      </c>
    </row>
    <row r="5" spans="1:28" ht="18" x14ac:dyDescent="0.35">
      <c r="A5" s="126">
        <v>0.04</v>
      </c>
      <c r="B5" s="127">
        <v>0.51595343685283079</v>
      </c>
      <c r="C5" s="132">
        <v>0.28999999999999998</v>
      </c>
      <c r="D5" s="139">
        <v>0.61409188119887737</v>
      </c>
      <c r="E5" s="126">
        <v>0.54</v>
      </c>
      <c r="F5" s="127">
        <v>0.7054014837843019</v>
      </c>
      <c r="G5" s="132">
        <v>0.79</v>
      </c>
      <c r="H5" s="139">
        <v>0.78523611583636299</v>
      </c>
      <c r="I5" s="126">
        <v>1.04</v>
      </c>
      <c r="J5" s="127">
        <v>0.85083004966901865</v>
      </c>
      <c r="K5" s="132">
        <v>1.29</v>
      </c>
      <c r="L5" s="133">
        <v>0.90147467095025213</v>
      </c>
      <c r="M5" s="126">
        <v>1.54</v>
      </c>
      <c r="N5" s="127">
        <v>0.93821982328818798</v>
      </c>
      <c r="O5" s="132">
        <v>1.79</v>
      </c>
      <c r="P5" s="133">
        <v>0.96327304430127381</v>
      </c>
      <c r="Q5" s="126">
        <v>2.04</v>
      </c>
      <c r="R5" s="127">
        <v>0.97932483713392982</v>
      </c>
      <c r="S5" s="132">
        <v>2.29</v>
      </c>
      <c r="T5" s="133">
        <v>0.98898934167558838</v>
      </c>
      <c r="U5" s="126">
        <v>2.54</v>
      </c>
      <c r="V5" s="127">
        <v>0.99445737655691757</v>
      </c>
      <c r="W5" s="132">
        <v>2.79</v>
      </c>
      <c r="X5" s="133">
        <v>0.99736459792209509</v>
      </c>
      <c r="Y5" s="126">
        <v>3.04</v>
      </c>
      <c r="Z5" s="127">
        <v>0.9988171092568956</v>
      </c>
      <c r="AA5" s="132">
        <v>3.29</v>
      </c>
      <c r="AB5" s="133">
        <v>0.99949906308621417</v>
      </c>
    </row>
    <row r="6" spans="1:28" ht="18" x14ac:dyDescent="0.35">
      <c r="A6" s="128">
        <v>0.05</v>
      </c>
      <c r="B6" s="129">
        <v>0.51993880583837249</v>
      </c>
      <c r="C6" s="134">
        <v>0.3</v>
      </c>
      <c r="D6" s="140">
        <v>0.61791142218895256</v>
      </c>
      <c r="E6" s="128">
        <v>0.55000000000000004</v>
      </c>
      <c r="F6" s="129">
        <v>0.70884031321165364</v>
      </c>
      <c r="G6" s="134">
        <v>0.8</v>
      </c>
      <c r="H6" s="140">
        <v>0.78814460141660325</v>
      </c>
      <c r="I6" s="128">
        <v>1.05</v>
      </c>
      <c r="J6" s="129">
        <v>0.8531409436241042</v>
      </c>
      <c r="K6" s="134">
        <v>1.3</v>
      </c>
      <c r="L6" s="135">
        <v>0.9031995154143897</v>
      </c>
      <c r="M6" s="128">
        <v>1.55</v>
      </c>
      <c r="N6" s="129">
        <v>0.93942924199794109</v>
      </c>
      <c r="O6" s="134">
        <v>1.8</v>
      </c>
      <c r="P6" s="135">
        <v>0.96406968088707412</v>
      </c>
      <c r="Q6" s="128">
        <v>2.0499999999999998</v>
      </c>
      <c r="R6" s="129">
        <v>0.97981778459429547</v>
      </c>
      <c r="S6" s="134">
        <v>2.2999999999999998</v>
      </c>
      <c r="T6" s="135">
        <v>0.98927588997832405</v>
      </c>
      <c r="U6" s="128">
        <v>2.5499999999999998</v>
      </c>
      <c r="V6" s="129">
        <v>0.99461385404593339</v>
      </c>
      <c r="W6" s="134">
        <v>2.8</v>
      </c>
      <c r="X6" s="135">
        <v>0.99744486966957213</v>
      </c>
      <c r="Y6" s="128">
        <v>3.05</v>
      </c>
      <c r="Z6" s="129">
        <v>0.99885579316897721</v>
      </c>
      <c r="AA6" s="134">
        <v>3.3</v>
      </c>
      <c r="AB6" s="135">
        <v>0.99951657585761577</v>
      </c>
    </row>
    <row r="7" spans="1:28" ht="18" x14ac:dyDescent="0.35">
      <c r="A7" s="126">
        <v>0.06</v>
      </c>
      <c r="B7" s="127">
        <v>0.52392218265410684</v>
      </c>
      <c r="C7" s="132">
        <v>0.31</v>
      </c>
      <c r="D7" s="139">
        <v>0.62171952182201928</v>
      </c>
      <c r="E7" s="126">
        <v>0.56000000000000005</v>
      </c>
      <c r="F7" s="127">
        <v>0.71226028115097295</v>
      </c>
      <c r="G7" s="132">
        <v>0.81</v>
      </c>
      <c r="H7" s="139">
        <v>0.79102991212839835</v>
      </c>
      <c r="I7" s="126">
        <v>1.06</v>
      </c>
      <c r="J7" s="127">
        <v>0.85542770033609039</v>
      </c>
      <c r="K7" s="132">
        <v>1.31</v>
      </c>
      <c r="L7" s="133">
        <v>0.90490208220476098</v>
      </c>
      <c r="M7" s="126">
        <v>1.56</v>
      </c>
      <c r="N7" s="127">
        <v>0.94062005940520699</v>
      </c>
      <c r="O7" s="132">
        <v>1.81</v>
      </c>
      <c r="P7" s="133">
        <v>0.96485210641596131</v>
      </c>
      <c r="Q7" s="126">
        <v>2.06</v>
      </c>
      <c r="R7" s="127">
        <v>0.9803007295906232</v>
      </c>
      <c r="S7" s="132">
        <v>2.31</v>
      </c>
      <c r="T7" s="133">
        <v>0.98955592293804906</v>
      </c>
      <c r="U7" s="126">
        <v>2.56</v>
      </c>
      <c r="V7" s="127">
        <v>0.99476639183644422</v>
      </c>
      <c r="W7" s="132">
        <v>2.81</v>
      </c>
      <c r="X7" s="133">
        <v>0.99752292500121387</v>
      </c>
      <c r="Y7" s="126">
        <v>3.06</v>
      </c>
      <c r="Z7" s="127">
        <v>0.99889331504259105</v>
      </c>
      <c r="AA7" s="132">
        <v>3.31</v>
      </c>
      <c r="AB7" s="133">
        <v>0.99953352014389174</v>
      </c>
    </row>
    <row r="8" spans="1:28" ht="18" x14ac:dyDescent="0.35">
      <c r="A8" s="128">
        <v>7.0000000000000007E-2</v>
      </c>
      <c r="B8" s="129">
        <v>0.52790317018052113</v>
      </c>
      <c r="C8" s="134">
        <v>0.32</v>
      </c>
      <c r="D8" s="140">
        <v>0.62551583472332006</v>
      </c>
      <c r="E8" s="128">
        <v>0.56999999999999995</v>
      </c>
      <c r="F8" s="129">
        <v>0.71566115095367577</v>
      </c>
      <c r="G8" s="134">
        <v>0.82</v>
      </c>
      <c r="H8" s="140">
        <v>0.79389194641418692</v>
      </c>
      <c r="I8" s="128">
        <v>1.07</v>
      </c>
      <c r="J8" s="129">
        <v>0.85769034564406066</v>
      </c>
      <c r="K8" s="134">
        <v>1.32</v>
      </c>
      <c r="L8" s="135">
        <v>0.9065824910065281</v>
      </c>
      <c r="M8" s="128">
        <v>1.57</v>
      </c>
      <c r="N8" s="129">
        <v>0.94179244436144693</v>
      </c>
      <c r="O8" s="134">
        <v>1.82</v>
      </c>
      <c r="P8" s="135">
        <v>0.96562049755411006</v>
      </c>
      <c r="Q8" s="128">
        <v>2.0699999999999998</v>
      </c>
      <c r="R8" s="129">
        <v>0.98077382777248279</v>
      </c>
      <c r="S8" s="134">
        <v>2.3199999999999998</v>
      </c>
      <c r="T8" s="135">
        <v>0.98982956133128019</v>
      </c>
      <c r="U8" s="128">
        <v>2.57</v>
      </c>
      <c r="V8" s="129">
        <v>0.99491507425100889</v>
      </c>
      <c r="W8" s="134">
        <v>2.82</v>
      </c>
      <c r="X8" s="135">
        <v>0.99759881752581081</v>
      </c>
      <c r="Y8" s="128">
        <v>3.07</v>
      </c>
      <c r="Z8" s="129">
        <v>0.99892970614532117</v>
      </c>
      <c r="AA8" s="134">
        <v>3.32</v>
      </c>
      <c r="AB8" s="135">
        <v>0.99954991275940763</v>
      </c>
    </row>
    <row r="9" spans="1:28" ht="18" x14ac:dyDescent="0.35">
      <c r="A9" s="126">
        <v>0.08</v>
      </c>
      <c r="B9" s="127">
        <v>0.53188137201398733</v>
      </c>
      <c r="C9" s="132">
        <v>0.33</v>
      </c>
      <c r="D9" s="139">
        <v>0.62930001894065346</v>
      </c>
      <c r="E9" s="126">
        <v>0.57999999999999996</v>
      </c>
      <c r="F9" s="127">
        <v>0.71904269110143559</v>
      </c>
      <c r="G9" s="132">
        <v>0.83</v>
      </c>
      <c r="H9" s="139">
        <v>0.79673060817193153</v>
      </c>
      <c r="I9" s="126">
        <v>1.08</v>
      </c>
      <c r="J9" s="127">
        <v>0.85992890991123083</v>
      </c>
      <c r="K9" s="132">
        <v>1.33</v>
      </c>
      <c r="L9" s="133">
        <v>0.90824086434971918</v>
      </c>
      <c r="M9" s="126">
        <v>1.58</v>
      </c>
      <c r="N9" s="127">
        <v>0.94294656676224586</v>
      </c>
      <c r="O9" s="132">
        <v>1.83</v>
      </c>
      <c r="P9" s="133">
        <v>0.96637503058037166</v>
      </c>
      <c r="Q9" s="126">
        <v>2.08</v>
      </c>
      <c r="R9" s="127">
        <v>0.98123723356506221</v>
      </c>
      <c r="S9" s="132">
        <v>2.33</v>
      </c>
      <c r="T9" s="133">
        <v>0.99009692444083575</v>
      </c>
      <c r="U9" s="126">
        <v>2.58</v>
      </c>
      <c r="V9" s="127">
        <v>0.99505998424222941</v>
      </c>
      <c r="W9" s="132">
        <v>2.83</v>
      </c>
      <c r="X9" s="133">
        <v>0.99767259979326828</v>
      </c>
      <c r="Y9" s="126">
        <v>3.08</v>
      </c>
      <c r="Z9" s="127">
        <v>0.99896499702519703</v>
      </c>
      <c r="AA9" s="132">
        <v>3.33</v>
      </c>
      <c r="AB9" s="133">
        <v>0.99956577007961789</v>
      </c>
    </row>
    <row r="10" spans="1:28" ht="18" x14ac:dyDescent="0.35">
      <c r="A10" s="128">
        <v>0.09</v>
      </c>
      <c r="B10" s="129">
        <v>0.53585639258517215</v>
      </c>
      <c r="C10" s="134">
        <v>0.34</v>
      </c>
      <c r="D10" s="140">
        <v>0.63307173603602807</v>
      </c>
      <c r="E10" s="128">
        <v>0.59</v>
      </c>
      <c r="F10" s="129">
        <v>0.72240467524653507</v>
      </c>
      <c r="G10" s="134">
        <v>0.84</v>
      </c>
      <c r="H10" s="140">
        <v>0.79954580673955022</v>
      </c>
      <c r="I10" s="128">
        <v>1.0900000000000001</v>
      </c>
      <c r="J10" s="129">
        <v>0.8621434279679645</v>
      </c>
      <c r="K10" s="134">
        <v>1.34</v>
      </c>
      <c r="L10" s="135">
        <v>0.90987732753554751</v>
      </c>
      <c r="M10" s="128">
        <v>1.59</v>
      </c>
      <c r="N10" s="129">
        <v>0.94408259748053047</v>
      </c>
      <c r="O10" s="134">
        <v>1.84</v>
      </c>
      <c r="P10" s="135">
        <v>0.96711588134083626</v>
      </c>
      <c r="Q10" s="128">
        <v>2.09</v>
      </c>
      <c r="R10" s="129">
        <v>0.98169110014834104</v>
      </c>
      <c r="S10" s="134">
        <v>2.34</v>
      </c>
      <c r="T10" s="135">
        <v>0.99035813005464146</v>
      </c>
      <c r="U10" s="128">
        <v>2.59</v>
      </c>
      <c r="V10" s="129">
        <v>0.99520120340287366</v>
      </c>
      <c r="W10" s="134">
        <v>2.84</v>
      </c>
      <c r="X10" s="135">
        <v>0.99774432330845786</v>
      </c>
      <c r="Y10" s="128">
        <v>3.09</v>
      </c>
      <c r="Z10" s="129">
        <v>0.99899921752338594</v>
      </c>
      <c r="AA10" s="134">
        <v>3.34</v>
      </c>
      <c r="AB10" s="135">
        <v>0.99958110805055034</v>
      </c>
    </row>
    <row r="11" spans="1:28" ht="18" x14ac:dyDescent="0.35">
      <c r="A11" s="126">
        <v>0.1</v>
      </c>
      <c r="B11" s="127">
        <v>0.53982783727702899</v>
      </c>
      <c r="C11" s="132">
        <v>0.35</v>
      </c>
      <c r="D11" s="139">
        <v>0.63683065117561899</v>
      </c>
      <c r="E11" s="126">
        <v>0.6</v>
      </c>
      <c r="F11" s="127">
        <v>0.72574688224992634</v>
      </c>
      <c r="G11" s="132">
        <v>0.85</v>
      </c>
      <c r="H11" s="139">
        <v>0.80233745687730762</v>
      </c>
      <c r="I11" s="126">
        <v>1.1000000000000001</v>
      </c>
      <c r="J11" s="127">
        <v>0.86433393905361733</v>
      </c>
      <c r="K11" s="132">
        <v>1.35</v>
      </c>
      <c r="L11" s="133">
        <v>0.91149200856259804</v>
      </c>
      <c r="M11" s="126">
        <v>1.6</v>
      </c>
      <c r="N11" s="127">
        <v>0.94520070830044201</v>
      </c>
      <c r="O11" s="132">
        <v>1.85</v>
      </c>
      <c r="P11" s="133">
        <v>0.96784322520438637</v>
      </c>
      <c r="Q11" s="126">
        <v>2.1</v>
      </c>
      <c r="R11" s="127">
        <v>0.98213557943718355</v>
      </c>
      <c r="S11" s="132">
        <v>2.35</v>
      </c>
      <c r="T11" s="133">
        <v>0.99061329446516144</v>
      </c>
      <c r="U11" s="126">
        <v>2.6</v>
      </c>
      <c r="V11" s="127">
        <v>0.99533881197628127</v>
      </c>
      <c r="W11" s="132">
        <v>2.85</v>
      </c>
      <c r="X11" s="133">
        <v>0.99781403854508666</v>
      </c>
      <c r="Y11" s="126">
        <v>3.1</v>
      </c>
      <c r="Z11" s="127">
        <v>0.9990323967867818</v>
      </c>
      <c r="AA11" s="132">
        <v>3.35</v>
      </c>
      <c r="AB11" s="133">
        <v>0.99959594219813575</v>
      </c>
    </row>
    <row r="12" spans="1:28" ht="18" x14ac:dyDescent="0.35">
      <c r="A12" s="128">
        <v>0.11</v>
      </c>
      <c r="B12" s="129">
        <v>0.54379531254231683</v>
      </c>
      <c r="C12" s="134">
        <v>0.36</v>
      </c>
      <c r="D12" s="140">
        <v>0.64057643321799118</v>
      </c>
      <c r="E12" s="128">
        <v>0.61</v>
      </c>
      <c r="F12" s="129">
        <v>0.72906909621699434</v>
      </c>
      <c r="G12" s="134">
        <v>0.86</v>
      </c>
      <c r="H12" s="140">
        <v>0.80510547874819149</v>
      </c>
      <c r="I12" s="128">
        <v>1.1100000000000001</v>
      </c>
      <c r="J12" s="129">
        <v>0.86650048675725277</v>
      </c>
      <c r="K12" s="134">
        <v>1.36</v>
      </c>
      <c r="L12" s="135">
        <v>0.91308503805291497</v>
      </c>
      <c r="M12" s="128">
        <v>1.61</v>
      </c>
      <c r="N12" s="129">
        <v>0.94630107185188028</v>
      </c>
      <c r="O12" s="134">
        <v>1.86</v>
      </c>
      <c r="P12" s="135">
        <v>0.96855723701924734</v>
      </c>
      <c r="Q12" s="128">
        <v>2.11</v>
      </c>
      <c r="R12" s="129">
        <v>0.98257082206234281</v>
      </c>
      <c r="S12" s="134">
        <v>2.36</v>
      </c>
      <c r="T12" s="135">
        <v>0.99086253246942713</v>
      </c>
      <c r="U12" s="128">
        <v>2.61</v>
      </c>
      <c r="V12" s="129">
        <v>0.99547288886703256</v>
      </c>
      <c r="W12" s="134">
        <v>2.86</v>
      </c>
      <c r="X12" s="135">
        <v>0.99788179495959528</v>
      </c>
      <c r="Y12" s="128">
        <v>3.11</v>
      </c>
      <c r="Z12" s="129">
        <v>0.99906456328048621</v>
      </c>
      <c r="AA12" s="134">
        <v>3.36</v>
      </c>
      <c r="AB12" s="135">
        <v>0.9996102876374181</v>
      </c>
    </row>
    <row r="13" spans="1:28" ht="18" x14ac:dyDescent="0.35">
      <c r="A13" s="126">
        <v>0.12</v>
      </c>
      <c r="B13" s="127">
        <v>0.54775842602058389</v>
      </c>
      <c r="C13" s="132">
        <v>0.37</v>
      </c>
      <c r="D13" s="139">
        <v>0.64430875480054683</v>
      </c>
      <c r="E13" s="126">
        <v>0.62</v>
      </c>
      <c r="F13" s="127">
        <v>0.732371106531017</v>
      </c>
      <c r="G13" s="132">
        <v>0.87</v>
      </c>
      <c r="H13" s="139">
        <v>0.80784979789630385</v>
      </c>
      <c r="I13" s="126">
        <v>1.1200000000000001</v>
      </c>
      <c r="J13" s="127">
        <v>0.86864311895726942</v>
      </c>
      <c r="K13" s="132">
        <v>1.37</v>
      </c>
      <c r="L13" s="133">
        <v>0.91465654917803296</v>
      </c>
      <c r="M13" s="126">
        <v>1.62</v>
      </c>
      <c r="N13" s="127">
        <v>0.94738386154574794</v>
      </c>
      <c r="O13" s="132">
        <v>1.87</v>
      </c>
      <c r="P13" s="133">
        <v>0.96925809107053396</v>
      </c>
      <c r="Q13" s="126">
        <v>2.12</v>
      </c>
      <c r="R13" s="127">
        <v>0.98299697735236702</v>
      </c>
      <c r="S13" s="132">
        <v>2.37</v>
      </c>
      <c r="T13" s="133">
        <v>0.99110595736966289</v>
      </c>
      <c r="U13" s="126">
        <v>2.62</v>
      </c>
      <c r="V13" s="127">
        <v>0.99560351165187855</v>
      </c>
      <c r="W13" s="132">
        <v>2.87</v>
      </c>
      <c r="X13" s="133">
        <v>0.99794764100506039</v>
      </c>
      <c r="Y13" s="126">
        <v>3.12</v>
      </c>
      <c r="Z13" s="127">
        <v>0.99909574480017804</v>
      </c>
      <c r="AA13" s="132">
        <v>3.37</v>
      </c>
      <c r="AB13" s="133">
        <v>0.99962415908160041</v>
      </c>
    </row>
    <row r="14" spans="1:28" ht="18" x14ac:dyDescent="0.35">
      <c r="A14" s="128">
        <v>0.13</v>
      </c>
      <c r="B14" s="129">
        <v>0.55171678665456114</v>
      </c>
      <c r="C14" s="134">
        <v>0.38</v>
      </c>
      <c r="D14" s="140">
        <v>0.64802729242416279</v>
      </c>
      <c r="E14" s="128">
        <v>0.63</v>
      </c>
      <c r="F14" s="129">
        <v>0.73565270788432247</v>
      </c>
      <c r="G14" s="134">
        <v>0.88</v>
      </c>
      <c r="H14" s="140">
        <v>0.81057034522328786</v>
      </c>
      <c r="I14" s="128">
        <v>1.1299999999999999</v>
      </c>
      <c r="J14" s="129">
        <v>0.87076188775998231</v>
      </c>
      <c r="K14" s="134">
        <v>1.38</v>
      </c>
      <c r="L14" s="135">
        <v>0.91620667758498575</v>
      </c>
      <c r="M14" s="128">
        <v>1.63</v>
      </c>
      <c r="N14" s="129">
        <v>0.94844925150991055</v>
      </c>
      <c r="O14" s="134">
        <v>1.88</v>
      </c>
      <c r="P14" s="135">
        <v>0.96994596103880015</v>
      </c>
      <c r="Q14" s="128">
        <v>2.13</v>
      </c>
      <c r="R14" s="129">
        <v>0.9834141933163949</v>
      </c>
      <c r="S14" s="134">
        <v>2.38</v>
      </c>
      <c r="T14" s="135">
        <v>0.99134368097448333</v>
      </c>
      <c r="U14" s="128">
        <v>2.63</v>
      </c>
      <c r="V14" s="129">
        <v>0.99573075659091081</v>
      </c>
      <c r="W14" s="134">
        <v>2.88</v>
      </c>
      <c r="X14" s="135">
        <v>0.9980116241451058</v>
      </c>
      <c r="Y14" s="128">
        <v>3.13</v>
      </c>
      <c r="Z14" s="129">
        <v>0.9991259684843683</v>
      </c>
      <c r="AA14" s="134">
        <v>3.38</v>
      </c>
      <c r="AB14" s="135">
        <v>0.99963757085096749</v>
      </c>
    </row>
    <row r="15" spans="1:28" ht="18" x14ac:dyDescent="0.35">
      <c r="A15" s="126">
        <v>0.14000000000000001</v>
      </c>
      <c r="B15" s="127">
        <v>0.55567000480590645</v>
      </c>
      <c r="C15" s="132">
        <v>0.39</v>
      </c>
      <c r="D15" s="139">
        <v>0.65173172653598244</v>
      </c>
      <c r="E15" s="126">
        <v>0.64</v>
      </c>
      <c r="F15" s="127">
        <v>0.73891370030713843</v>
      </c>
      <c r="G15" s="132">
        <v>0.89</v>
      </c>
      <c r="H15" s="139">
        <v>0.81326705696282731</v>
      </c>
      <c r="I15" s="126">
        <v>1.1399999999999999</v>
      </c>
      <c r="J15" s="127">
        <v>0.87285684943720176</v>
      </c>
      <c r="K15" s="132">
        <v>1.39</v>
      </c>
      <c r="L15" s="133">
        <v>0.91773556132233103</v>
      </c>
      <c r="M15" s="126">
        <v>1.64</v>
      </c>
      <c r="N15" s="127">
        <v>0.94949741652589603</v>
      </c>
      <c r="O15" s="132">
        <v>1.89</v>
      </c>
      <c r="P15" s="133">
        <v>0.9706210199595906</v>
      </c>
      <c r="Q15" s="126">
        <v>2.14</v>
      </c>
      <c r="R15" s="127">
        <v>0.98382261662783388</v>
      </c>
      <c r="S15" s="132">
        <v>2.39</v>
      </c>
      <c r="T15" s="133">
        <v>0.9915758136006545</v>
      </c>
      <c r="U15" s="126">
        <v>2.64</v>
      </c>
      <c r="V15" s="127">
        <v>0.99585469863896381</v>
      </c>
      <c r="W15" s="132">
        <v>2.89</v>
      </c>
      <c r="X15" s="133">
        <v>0.99807379086781201</v>
      </c>
      <c r="Y15" s="126">
        <v>3.14</v>
      </c>
      <c r="Z15" s="127">
        <v>0.99915526082654127</v>
      </c>
      <c r="AA15" s="132">
        <v>3.39</v>
      </c>
      <c r="AB15" s="133">
        <v>0.99965053688166072</v>
      </c>
    </row>
    <row r="16" spans="1:28" ht="18" x14ac:dyDescent="0.35">
      <c r="A16" s="128">
        <v>0.15</v>
      </c>
      <c r="B16" s="129">
        <v>0.5596176923702425</v>
      </c>
      <c r="C16" s="134">
        <v>0.4</v>
      </c>
      <c r="D16" s="140">
        <v>0.65542174161032418</v>
      </c>
      <c r="E16" s="128">
        <v>0.65</v>
      </c>
      <c r="F16" s="129">
        <v>0.74215388919413527</v>
      </c>
      <c r="G16" s="134">
        <v>0.9</v>
      </c>
      <c r="H16" s="140">
        <v>0.81593987465324047</v>
      </c>
      <c r="I16" s="128">
        <v>1.1499999999999999</v>
      </c>
      <c r="J16" s="129">
        <v>0.87492806436284964</v>
      </c>
      <c r="K16" s="134">
        <v>1.4</v>
      </c>
      <c r="L16" s="135">
        <v>0.91924334076622882</v>
      </c>
      <c r="M16" s="128">
        <v>1.65</v>
      </c>
      <c r="N16" s="129">
        <v>0.9505285319663519</v>
      </c>
      <c r="O16" s="134">
        <v>1.9</v>
      </c>
      <c r="P16" s="135">
        <v>0.97128344018399804</v>
      </c>
      <c r="Q16" s="128">
        <v>2.15</v>
      </c>
      <c r="R16" s="129">
        <v>0.98422239260890954</v>
      </c>
      <c r="S16" s="134">
        <v>2.4</v>
      </c>
      <c r="T16" s="135">
        <v>0.99180246407540396</v>
      </c>
      <c r="U16" s="128">
        <v>2.65</v>
      </c>
      <c r="V16" s="129">
        <v>0.99597541145724156</v>
      </c>
      <c r="W16" s="134">
        <v>2.9</v>
      </c>
      <c r="X16" s="135">
        <v>0.99813418669961629</v>
      </c>
      <c r="Y16" s="128">
        <v>3.15</v>
      </c>
      <c r="Z16" s="129">
        <v>0.99918364768717138</v>
      </c>
      <c r="AA16" s="134">
        <v>3.4</v>
      </c>
      <c r="AB16" s="135">
        <v>0.99966307073432348</v>
      </c>
    </row>
    <row r="17" spans="1:28" ht="18" x14ac:dyDescent="0.35">
      <c r="A17" s="126">
        <v>0.16</v>
      </c>
      <c r="B17" s="127">
        <v>0.56355946289143288</v>
      </c>
      <c r="C17" s="132">
        <v>0.41</v>
      </c>
      <c r="D17" s="139">
        <v>0.65909702622767741</v>
      </c>
      <c r="E17" s="126">
        <v>0.66</v>
      </c>
      <c r="F17" s="127">
        <v>0.74537308532866386</v>
      </c>
      <c r="G17" s="132">
        <v>0.91</v>
      </c>
      <c r="H17" s="139">
        <v>0.81858874510820279</v>
      </c>
      <c r="I17" s="126">
        <v>1.1599999999999999</v>
      </c>
      <c r="J17" s="127">
        <v>0.87697559694865657</v>
      </c>
      <c r="K17" s="132">
        <v>1.41</v>
      </c>
      <c r="L17" s="133">
        <v>0.92073015854660767</v>
      </c>
      <c r="M17" s="126">
        <v>1.66</v>
      </c>
      <c r="N17" s="127">
        <v>0.95154277373327711</v>
      </c>
      <c r="O17" s="132">
        <v>1.91</v>
      </c>
      <c r="P17" s="133">
        <v>0.97193339334022744</v>
      </c>
      <c r="Q17" s="126">
        <v>2.16</v>
      </c>
      <c r="R17" s="127">
        <v>0.98461366521607452</v>
      </c>
      <c r="S17" s="132">
        <v>2.41</v>
      </c>
      <c r="T17" s="133">
        <v>0.9920237397392665</v>
      </c>
      <c r="U17" s="126">
        <v>2.66</v>
      </c>
      <c r="V17" s="127">
        <v>0.9960929674251473</v>
      </c>
      <c r="W17" s="132">
        <v>2.91</v>
      </c>
      <c r="X17" s="133">
        <v>0.99819285621919351</v>
      </c>
      <c r="Y17" s="126">
        <v>3.16</v>
      </c>
      <c r="Z17" s="127">
        <v>0.99921115430562457</v>
      </c>
      <c r="AA17" s="132">
        <v>3.41</v>
      </c>
      <c r="AB17" s="133">
        <v>0.99967518560258051</v>
      </c>
    </row>
    <row r="18" spans="1:28" ht="18" x14ac:dyDescent="0.35">
      <c r="A18" s="128">
        <v>0.17</v>
      </c>
      <c r="B18" s="129">
        <v>0.56749493167503839</v>
      </c>
      <c r="C18" s="134">
        <v>0.42</v>
      </c>
      <c r="D18" s="140">
        <v>0.66275727315175048</v>
      </c>
      <c r="E18" s="128">
        <v>0.67</v>
      </c>
      <c r="F18" s="129">
        <v>0.74857110490468992</v>
      </c>
      <c r="G18" s="134">
        <v>0.92</v>
      </c>
      <c r="H18" s="140">
        <v>0.82121362038562817</v>
      </c>
      <c r="I18" s="128">
        <v>1.17</v>
      </c>
      <c r="J18" s="129">
        <v>0.8789995155789817</v>
      </c>
      <c r="K18" s="134">
        <v>1.42</v>
      </c>
      <c r="L18" s="135">
        <v>0.92219615947345357</v>
      </c>
      <c r="M18" s="128">
        <v>1.67</v>
      </c>
      <c r="N18" s="129">
        <v>0.95254031819705265</v>
      </c>
      <c r="O18" s="134">
        <v>1.92</v>
      </c>
      <c r="P18" s="135">
        <v>0.97257105029616309</v>
      </c>
      <c r="Q18" s="128">
        <v>2.17</v>
      </c>
      <c r="R18" s="129">
        <v>0.98499657702626764</v>
      </c>
      <c r="S18" s="134">
        <v>2.42</v>
      </c>
      <c r="T18" s="135">
        <v>0.99223974644944612</v>
      </c>
      <c r="U18" s="128">
        <v>2.67</v>
      </c>
      <c r="V18" s="129">
        <v>0.99620743765231445</v>
      </c>
      <c r="W18" s="134">
        <v>2.92</v>
      </c>
      <c r="X18" s="135">
        <v>0.99824984307132403</v>
      </c>
      <c r="Y18" s="128">
        <v>3.17</v>
      </c>
      <c r="Z18" s="129">
        <v>0.99923780531193251</v>
      </c>
      <c r="AA18" s="134">
        <v>3.42</v>
      </c>
      <c r="AB18" s="135">
        <v>0.99968689432141855</v>
      </c>
    </row>
    <row r="19" spans="1:28" ht="18" x14ac:dyDescent="0.35">
      <c r="A19" s="126">
        <v>0.18</v>
      </c>
      <c r="B19" s="127">
        <v>0.57142371590090069</v>
      </c>
      <c r="C19" s="132">
        <v>0.43</v>
      </c>
      <c r="D19" s="139">
        <v>0.66640217940454227</v>
      </c>
      <c r="E19" s="126">
        <v>0.68</v>
      </c>
      <c r="F19" s="127">
        <v>0.75174776954642941</v>
      </c>
      <c r="G19" s="132">
        <v>0.93</v>
      </c>
      <c r="H19" s="139">
        <v>0.82381445775474205</v>
      </c>
      <c r="I19" s="126">
        <v>1.18</v>
      </c>
      <c r="J19" s="127">
        <v>0.88099989254479927</v>
      </c>
      <c r="K19" s="132">
        <v>1.43</v>
      </c>
      <c r="L19" s="133">
        <v>0.92364149046326105</v>
      </c>
      <c r="M19" s="126">
        <v>1.68</v>
      </c>
      <c r="N19" s="127">
        <v>0.95352134213627993</v>
      </c>
      <c r="O19" s="132">
        <v>1.93</v>
      </c>
      <c r="P19" s="133">
        <v>0.97319658112294505</v>
      </c>
      <c r="Q19" s="126">
        <v>2.1800000000000002</v>
      </c>
      <c r="R19" s="127">
        <v>0.98537126922401086</v>
      </c>
      <c r="S19" s="132">
        <v>2.4300000000000002</v>
      </c>
      <c r="T19" s="133">
        <v>0.99245058858369073</v>
      </c>
      <c r="U19" s="126">
        <v>2.68</v>
      </c>
      <c r="V19" s="127">
        <v>0.99631889199082491</v>
      </c>
      <c r="W19" s="132">
        <v>2.93</v>
      </c>
      <c r="X19" s="133">
        <v>0.99830518998072271</v>
      </c>
      <c r="Y19" s="126">
        <v>3.18</v>
      </c>
      <c r="Z19" s="127">
        <v>0.99926362473844565</v>
      </c>
      <c r="AA19" s="132">
        <v>3.43</v>
      </c>
      <c r="AB19" s="133">
        <v>0.999698209375392</v>
      </c>
    </row>
    <row r="20" spans="1:28" ht="18" x14ac:dyDescent="0.35">
      <c r="A20" s="128">
        <v>0.19</v>
      </c>
      <c r="B20" s="129">
        <v>0.57534543473479549</v>
      </c>
      <c r="C20" s="134">
        <v>0.44</v>
      </c>
      <c r="D20" s="140">
        <v>0.67003144633940637</v>
      </c>
      <c r="E20" s="128">
        <v>0.69</v>
      </c>
      <c r="F20" s="129">
        <v>0.75490290632569057</v>
      </c>
      <c r="G20" s="134">
        <v>0.94</v>
      </c>
      <c r="H20" s="140">
        <v>0.8263912196613753</v>
      </c>
      <c r="I20" s="128">
        <v>1.19</v>
      </c>
      <c r="J20" s="129">
        <v>0.88297680397689127</v>
      </c>
      <c r="K20" s="134">
        <v>1.44</v>
      </c>
      <c r="L20" s="135">
        <v>0.92506630046567273</v>
      </c>
      <c r="M20" s="128">
        <v>1.69</v>
      </c>
      <c r="N20" s="129">
        <v>0.95448602267845006</v>
      </c>
      <c r="O20" s="134">
        <v>1.94</v>
      </c>
      <c r="P20" s="135">
        <v>0.97381015505954727</v>
      </c>
      <c r="Q20" s="128">
        <v>2.19</v>
      </c>
      <c r="R20" s="129">
        <v>0.98573788158933118</v>
      </c>
      <c r="S20" s="134">
        <v>2.44</v>
      </c>
      <c r="T20" s="135">
        <v>0.9926563690446516</v>
      </c>
      <c r="U20" s="128">
        <v>2.69</v>
      </c>
      <c r="V20" s="129">
        <v>0.99642739904760036</v>
      </c>
      <c r="W20" s="134">
        <v>2.94</v>
      </c>
      <c r="X20" s="135">
        <v>0.99835893876584292</v>
      </c>
      <c r="Y20" s="128">
        <v>3.19</v>
      </c>
      <c r="Z20" s="129">
        <v>0.99928863603135487</v>
      </c>
      <c r="AA20" s="134">
        <v>3.44</v>
      </c>
      <c r="AB20" s="135">
        <v>0.99970914290670854</v>
      </c>
    </row>
    <row r="21" spans="1:28" ht="18" x14ac:dyDescent="0.35">
      <c r="A21" s="126">
        <v>0.2</v>
      </c>
      <c r="B21" s="127">
        <v>0.57925970943910299</v>
      </c>
      <c r="C21" s="132">
        <v>0.45</v>
      </c>
      <c r="D21" s="139">
        <v>0.67364477971207992</v>
      </c>
      <c r="E21" s="126">
        <v>0.7</v>
      </c>
      <c r="F21" s="127">
        <v>0.75803634777692697</v>
      </c>
      <c r="G21" s="132">
        <v>0.95</v>
      </c>
      <c r="H21" s="139">
        <v>0.82894387369151812</v>
      </c>
      <c r="I21" s="126">
        <v>1.2</v>
      </c>
      <c r="J21" s="127">
        <v>0.88493032977829178</v>
      </c>
      <c r="K21" s="132">
        <v>1.45</v>
      </c>
      <c r="L21" s="133">
        <v>0.92647074039035149</v>
      </c>
      <c r="M21" s="126">
        <v>1.7</v>
      </c>
      <c r="N21" s="127">
        <v>0.95543453724145688</v>
      </c>
      <c r="O21" s="132">
        <v>1.95</v>
      </c>
      <c r="P21" s="133">
        <v>0.97441194047836133</v>
      </c>
      <c r="Q21" s="126">
        <v>2.2000000000000002</v>
      </c>
      <c r="R21" s="127">
        <v>0.98609655248650141</v>
      </c>
      <c r="S21" s="132">
        <v>2.4500000000000002</v>
      </c>
      <c r="T21" s="133">
        <v>0.99285718926472866</v>
      </c>
      <c r="U21" s="126">
        <v>2.7</v>
      </c>
      <c r="V21" s="127">
        <v>0.99653302619695938</v>
      </c>
      <c r="W21" s="132">
        <v>2.95</v>
      </c>
      <c r="X21" s="133">
        <v>0.99841113035263507</v>
      </c>
      <c r="Y21" s="126">
        <v>3.2</v>
      </c>
      <c r="Z21" s="127">
        <v>0.99931286206208414</v>
      </c>
      <c r="AA21" s="132">
        <v>3.45</v>
      </c>
      <c r="AB21" s="133">
        <v>0.99971970672318333</v>
      </c>
    </row>
    <row r="22" spans="1:28" ht="18" x14ac:dyDescent="0.35">
      <c r="A22" s="128">
        <v>0.21</v>
      </c>
      <c r="B22" s="129">
        <v>0.58316616348244232</v>
      </c>
      <c r="C22" s="134">
        <v>0.46</v>
      </c>
      <c r="D22" s="140">
        <v>0.67724188974965216</v>
      </c>
      <c r="E22" s="128">
        <v>0.71</v>
      </c>
      <c r="F22" s="129">
        <v>0.76114793191001329</v>
      </c>
      <c r="G22" s="134">
        <v>0.96</v>
      </c>
      <c r="H22" s="140">
        <v>0.83147239253316219</v>
      </c>
      <c r="I22" s="128">
        <v>1.21</v>
      </c>
      <c r="J22" s="129">
        <v>0.88686055355602278</v>
      </c>
      <c r="K22" s="134">
        <v>1.46</v>
      </c>
      <c r="L22" s="135">
        <v>0.92785496303410619</v>
      </c>
      <c r="M22" s="128">
        <v>1.71</v>
      </c>
      <c r="N22" s="129">
        <v>0.956367063475968</v>
      </c>
      <c r="O22" s="134">
        <v>1.96</v>
      </c>
      <c r="P22" s="135">
        <v>0.97500210485177963</v>
      </c>
      <c r="Q22" s="128">
        <v>2.21</v>
      </c>
      <c r="R22" s="129">
        <v>0.98644741885358012</v>
      </c>
      <c r="S22" s="134">
        <v>2.46</v>
      </c>
      <c r="T22" s="135">
        <v>0.99305314921137589</v>
      </c>
      <c r="U22" s="128">
        <v>2.71</v>
      </c>
      <c r="V22" s="129">
        <v>0.9966358395933308</v>
      </c>
      <c r="W22" s="134">
        <v>2.96</v>
      </c>
      <c r="X22" s="135">
        <v>0.99846180478826185</v>
      </c>
      <c r="Y22" s="128">
        <v>3.21</v>
      </c>
      <c r="Z22" s="129">
        <v>0.9993363251385603</v>
      </c>
      <c r="AA22" s="134">
        <v>3.46</v>
      </c>
      <c r="AB22" s="135">
        <v>0.99972991230603636</v>
      </c>
    </row>
    <row r="23" spans="1:28" ht="18" x14ac:dyDescent="0.35">
      <c r="A23" s="126">
        <v>0.22</v>
      </c>
      <c r="B23" s="127">
        <v>0.58706442264821468</v>
      </c>
      <c r="C23" s="132">
        <v>0.47</v>
      </c>
      <c r="D23" s="139">
        <v>0.6808224912174442</v>
      </c>
      <c r="E23" s="126">
        <v>0.72</v>
      </c>
      <c r="F23" s="127">
        <v>0.76423750222074882</v>
      </c>
      <c r="G23" s="132">
        <v>0.97</v>
      </c>
      <c r="H23" s="139">
        <v>0.83397675393647042</v>
      </c>
      <c r="I23" s="126">
        <v>1.22</v>
      </c>
      <c r="J23" s="127">
        <v>0.88876756255216516</v>
      </c>
      <c r="K23" s="132">
        <v>1.47</v>
      </c>
      <c r="L23" s="133">
        <v>0.92921912300831444</v>
      </c>
      <c r="M23" s="126">
        <v>1.72</v>
      </c>
      <c r="N23" s="127">
        <v>0.95728377920867103</v>
      </c>
      <c r="O23" s="132">
        <v>1.97</v>
      </c>
      <c r="P23" s="133">
        <v>0.97558081471977753</v>
      </c>
      <c r="Q23" s="126">
        <v>2.2200000000000002</v>
      </c>
      <c r="R23" s="127">
        <v>0.98679061619274377</v>
      </c>
      <c r="S23" s="132">
        <v>2.4700000000000002</v>
      </c>
      <c r="T23" s="133">
        <v>0.99324434739285938</v>
      </c>
      <c r="U23" s="126">
        <v>2.72</v>
      </c>
      <c r="V23" s="127">
        <v>0.99673590418410873</v>
      </c>
      <c r="W23" s="132">
        <v>2.97</v>
      </c>
      <c r="X23" s="133">
        <v>0.99851100125476278</v>
      </c>
      <c r="Y23" s="126">
        <v>3.22</v>
      </c>
      <c r="Z23" s="127">
        <v>0.99935904701634004</v>
      </c>
      <c r="AA23" s="132">
        <v>3.47</v>
      </c>
      <c r="AB23" s="133">
        <v>0.99973977081757304</v>
      </c>
    </row>
    <row r="24" spans="1:28" ht="18" x14ac:dyDescent="0.35">
      <c r="A24" s="128">
        <v>0.23</v>
      </c>
      <c r="B24" s="129">
        <v>0.59095411514200591</v>
      </c>
      <c r="C24" s="134">
        <v>0.48</v>
      </c>
      <c r="D24" s="140">
        <v>0.68438630348377738</v>
      </c>
      <c r="E24" s="128">
        <v>0.73</v>
      </c>
      <c r="F24" s="129">
        <v>0.76730490769910253</v>
      </c>
      <c r="G24" s="134">
        <v>0.98</v>
      </c>
      <c r="H24" s="140">
        <v>0.83645694067230747</v>
      </c>
      <c r="I24" s="128">
        <v>1.23</v>
      </c>
      <c r="J24" s="129">
        <v>0.89065144757430814</v>
      </c>
      <c r="K24" s="134">
        <v>1.48</v>
      </c>
      <c r="L24" s="135">
        <v>0.93056337666666822</v>
      </c>
      <c r="M24" s="128">
        <v>1.73</v>
      </c>
      <c r="N24" s="129">
        <v>0.9581848623864051</v>
      </c>
      <c r="O24" s="134">
        <v>1.98</v>
      </c>
      <c r="P24" s="135">
        <v>0.9761482356584914</v>
      </c>
      <c r="Q24" s="128">
        <v>2.23</v>
      </c>
      <c r="R24" s="129">
        <v>0.98712627856139801</v>
      </c>
      <c r="S24" s="134">
        <v>2.48</v>
      </c>
      <c r="T24" s="135">
        <v>0.99343088086445341</v>
      </c>
      <c r="U24" s="128">
        <v>2.73</v>
      </c>
      <c r="V24" s="129">
        <v>0.99683328372264224</v>
      </c>
      <c r="W24" s="134">
        <v>2.98</v>
      </c>
      <c r="X24" s="135">
        <v>0.99855875808266015</v>
      </c>
      <c r="Y24" s="128">
        <v>3.23</v>
      </c>
      <c r="Z24" s="129">
        <v>0.99938104890961266</v>
      </c>
      <c r="AA24" s="134">
        <v>3.48</v>
      </c>
      <c r="AB24" s="135">
        <v>0.99974929310871874</v>
      </c>
    </row>
    <row r="25" spans="1:28" ht="18" x14ac:dyDescent="0.35">
      <c r="A25" s="126">
        <v>0.24</v>
      </c>
      <c r="B25" s="127">
        <v>0.59483487169779581</v>
      </c>
      <c r="C25" s="132">
        <v>0.49</v>
      </c>
      <c r="D25" s="139">
        <v>0.68793305058260945</v>
      </c>
      <c r="E25" s="126">
        <v>0.74</v>
      </c>
      <c r="F25" s="127">
        <v>0.77035000283520938</v>
      </c>
      <c r="G25" s="132">
        <v>0.99</v>
      </c>
      <c r="H25" s="139">
        <v>0.83891294048916909</v>
      </c>
      <c r="I25" s="126">
        <v>1.24</v>
      </c>
      <c r="J25" s="127">
        <v>0.89251230292541317</v>
      </c>
      <c r="K25" s="132">
        <v>1.49</v>
      </c>
      <c r="L25" s="133">
        <v>0.93188788203327455</v>
      </c>
      <c r="M25" s="126">
        <v>1.74</v>
      </c>
      <c r="N25" s="127">
        <v>0.95907049102119268</v>
      </c>
      <c r="O25" s="132">
        <v>1.99</v>
      </c>
      <c r="P25" s="133">
        <v>0.97670453224978815</v>
      </c>
      <c r="Q25" s="126">
        <v>2.2400000000000002</v>
      </c>
      <c r="R25" s="127">
        <v>0.98745453856405341</v>
      </c>
      <c r="S25" s="132">
        <v>2.4900000000000002</v>
      </c>
      <c r="T25" s="133">
        <v>0.99361284523505677</v>
      </c>
      <c r="U25" s="126">
        <v>2.74</v>
      </c>
      <c r="V25" s="127">
        <v>0.99692804078134944</v>
      </c>
      <c r="W25" s="132">
        <v>2.99</v>
      </c>
      <c r="X25" s="133">
        <v>0.9986051127645077</v>
      </c>
      <c r="Y25" s="126">
        <v>3.24</v>
      </c>
      <c r="Z25" s="127">
        <v>0.9994023515020658</v>
      </c>
      <c r="AA25" s="132">
        <v>3.49</v>
      </c>
      <c r="AB25" s="133">
        <v>0.99975848972643155</v>
      </c>
    </row>
    <row r="26" spans="1:28" ht="18.600000000000001" thickBot="1" x14ac:dyDescent="0.4">
      <c r="A26" s="130">
        <v>0.25</v>
      </c>
      <c r="B26" s="131">
        <v>0.5987063256829237</v>
      </c>
      <c r="C26" s="136">
        <v>0.5</v>
      </c>
      <c r="D26" s="141">
        <v>0.69146246127401312</v>
      </c>
      <c r="E26" s="130">
        <v>0.75</v>
      </c>
      <c r="F26" s="131">
        <v>0.77337264762313174</v>
      </c>
      <c r="G26" s="136">
        <v>1</v>
      </c>
      <c r="H26" s="141">
        <v>0.84134474606854293</v>
      </c>
      <c r="I26" s="130">
        <v>1.25</v>
      </c>
      <c r="J26" s="131">
        <v>0.89435022633314465</v>
      </c>
      <c r="K26" s="136">
        <v>1.5</v>
      </c>
      <c r="L26" s="137">
        <v>0.93319279873114191</v>
      </c>
      <c r="M26" s="130">
        <v>1.75</v>
      </c>
      <c r="N26" s="131">
        <v>0.95994084313618289</v>
      </c>
      <c r="O26" s="136">
        <v>2</v>
      </c>
      <c r="P26" s="137">
        <v>0.97724986805182068</v>
      </c>
      <c r="Q26" s="130">
        <v>2.25</v>
      </c>
      <c r="R26" s="131">
        <v>0.98777552734495533</v>
      </c>
      <c r="S26" s="136">
        <v>2.5</v>
      </c>
      <c r="T26" s="137">
        <v>0.99379033467422406</v>
      </c>
      <c r="U26" s="130">
        <v>2.75</v>
      </c>
      <c r="V26" s="131">
        <v>0.99702023676494544</v>
      </c>
      <c r="W26" s="136">
        <v>3</v>
      </c>
      <c r="X26" s="137">
        <v>0.9986501019683699</v>
      </c>
      <c r="Y26" s="130">
        <v>3.25</v>
      </c>
      <c r="Z26" s="131">
        <v>0.99942297495760923</v>
      </c>
      <c r="AA26" s="136">
        <v>3.5</v>
      </c>
      <c r="AB26" s="137">
        <v>0.99976737092096579</v>
      </c>
    </row>
    <row r="27" spans="1:28" x14ac:dyDescent="0.3">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row>
    <row r="28" spans="1:28" x14ac:dyDescent="0.3">
      <c r="A28" s="123"/>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row>
    <row r="29" spans="1:28" x14ac:dyDescent="0.3">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802"/>
  <sheetViews>
    <sheetView topLeftCell="C1" zoomScale="70" zoomScaleNormal="70" workbookViewId="0">
      <selection activeCell="H17" sqref="H17"/>
    </sheetView>
  </sheetViews>
  <sheetFormatPr defaultColWidth="8.88671875" defaultRowHeight="15.6" x14ac:dyDescent="0.3"/>
  <cols>
    <col min="1" max="1" width="8.88671875" style="60"/>
    <col min="2" max="2" width="16.109375" style="60" bestFit="1" customWidth="1"/>
    <col min="3" max="3" width="8.88671875" style="70"/>
    <col min="4" max="4" width="12.109375" style="70" customWidth="1"/>
    <col min="5" max="5" width="21.33203125" style="71" customWidth="1"/>
    <col min="6" max="6" width="26.5546875" style="60" customWidth="1"/>
    <col min="7" max="7" width="10.5546875" style="60" bestFit="1" customWidth="1"/>
    <col min="8" max="8" width="17.6640625" style="60" bestFit="1" customWidth="1"/>
    <col min="9" max="9" width="15.33203125" style="60" customWidth="1"/>
    <col min="10" max="10" width="24.109375" style="60" bestFit="1" customWidth="1"/>
    <col min="11" max="11" width="8.88671875" style="60"/>
    <col min="12" max="12" width="8.88671875" style="73"/>
    <col min="13" max="16384" width="8.88671875" style="60"/>
  </cols>
  <sheetData>
    <row r="1" spans="1:17" s="67" customFormat="1" x14ac:dyDescent="0.3">
      <c r="A1" s="67" t="s">
        <v>297</v>
      </c>
      <c r="B1" s="67" t="s">
        <v>422</v>
      </c>
      <c r="C1" s="68" t="s">
        <v>417</v>
      </c>
      <c r="D1" s="68" t="s">
        <v>250</v>
      </c>
      <c r="E1" s="69" t="s">
        <v>427</v>
      </c>
      <c r="F1" s="67" t="s">
        <v>423</v>
      </c>
      <c r="G1" s="67" t="s">
        <v>424</v>
      </c>
      <c r="H1" s="67" t="s">
        <v>426</v>
      </c>
      <c r="I1" s="67" t="s">
        <v>428</v>
      </c>
      <c r="J1" s="67" t="s">
        <v>425</v>
      </c>
      <c r="K1" s="362" t="s">
        <v>430</v>
      </c>
      <c r="L1" s="362"/>
      <c r="M1" s="362"/>
      <c r="N1" s="362"/>
      <c r="O1" s="362"/>
      <c r="P1" s="362"/>
      <c r="Q1" s="362"/>
    </row>
    <row r="2" spans="1:17" x14ac:dyDescent="0.3">
      <c r="A2" s="70">
        <f>B2+C2</f>
        <v>-4</v>
      </c>
      <c r="B2" s="60">
        <v>0</v>
      </c>
      <c r="C2" s="70">
        <v>-4</v>
      </c>
      <c r="D2" s="70">
        <v>1</v>
      </c>
      <c r="E2" s="71">
        <f t="shared" ref="E2:E33" si="0">-(A2-B2)*(A2-B2)/2</f>
        <v>-8</v>
      </c>
      <c r="F2" s="72">
        <f>(1/SQRT(2*PI()))*(EXP(E2))</f>
        <v>1.3383022576488537E-4</v>
      </c>
      <c r="G2" s="70">
        <f t="shared" ref="G2:G65" si="1">C3-C2</f>
        <v>9.9999999999997868E-3</v>
      </c>
      <c r="H2" s="60">
        <f>F2*G2</f>
        <v>1.3383022576488251E-6</v>
      </c>
      <c r="I2" s="60">
        <f>H2</f>
        <v>1.3383022576488251E-6</v>
      </c>
      <c r="J2" s="60">
        <f t="shared" ref="J2:J65" si="2">NORMSDIST(C2)</f>
        <v>3.1671241833119857E-5</v>
      </c>
    </row>
    <row r="3" spans="1:17" x14ac:dyDescent="0.3">
      <c r="A3" s="70">
        <f t="shared" ref="A3:A66" si="3">B3+C3</f>
        <v>-3.99</v>
      </c>
      <c r="B3" s="60">
        <v>0</v>
      </c>
      <c r="C3" s="70">
        <v>-3.99</v>
      </c>
      <c r="D3" s="70">
        <v>1</v>
      </c>
      <c r="E3" s="71">
        <f t="shared" si="0"/>
        <v>-7.9600500000000007</v>
      </c>
      <c r="F3" s="72">
        <f t="shared" ref="F3:F66" si="4">(1/SQRT(2*PI()))*(EXP(E3))</f>
        <v>1.3928497646575994E-4</v>
      </c>
      <c r="G3" s="70">
        <f t="shared" si="1"/>
        <v>1.0000000000000231E-2</v>
      </c>
      <c r="H3" s="60">
        <f t="shared" ref="H3:H66" si="5">F3*G3</f>
        <v>1.3928497646576316E-6</v>
      </c>
      <c r="I3" s="60">
        <f>SUM(H2:H3)</f>
        <v>2.7311520223064565E-6</v>
      </c>
      <c r="J3" s="60">
        <f t="shared" si="2"/>
        <v>3.3036647629402356E-5</v>
      </c>
    </row>
    <row r="4" spans="1:17" x14ac:dyDescent="0.3">
      <c r="A4" s="70">
        <f t="shared" si="3"/>
        <v>-3.98</v>
      </c>
      <c r="B4" s="60">
        <v>0</v>
      </c>
      <c r="C4" s="70">
        <v>-3.98</v>
      </c>
      <c r="D4" s="70">
        <v>1</v>
      </c>
      <c r="E4" s="71">
        <f t="shared" si="0"/>
        <v>-7.9202000000000004</v>
      </c>
      <c r="F4" s="72">
        <f t="shared" si="4"/>
        <v>1.4494756042389106E-4</v>
      </c>
      <c r="G4" s="70">
        <f t="shared" si="1"/>
        <v>9.9999999999997868E-3</v>
      </c>
      <c r="H4" s="60">
        <f t="shared" si="5"/>
        <v>1.4494756042388797E-6</v>
      </c>
      <c r="I4" s="60">
        <f>H4+I3</f>
        <v>4.1806276265453362E-6</v>
      </c>
      <c r="J4" s="60">
        <f t="shared" si="2"/>
        <v>3.4457634115053068E-5</v>
      </c>
    </row>
    <row r="5" spans="1:17" x14ac:dyDescent="0.3">
      <c r="A5" s="70">
        <f t="shared" si="3"/>
        <v>-3.97</v>
      </c>
      <c r="B5" s="60">
        <v>0</v>
      </c>
      <c r="C5" s="70">
        <v>-3.97</v>
      </c>
      <c r="D5" s="70">
        <v>1</v>
      </c>
      <c r="E5" s="71">
        <f t="shared" si="0"/>
        <v>-7.8804500000000006</v>
      </c>
      <c r="F5" s="72">
        <f t="shared" si="4"/>
        <v>1.508252715505178E-4</v>
      </c>
      <c r="G5" s="70">
        <f t="shared" si="1"/>
        <v>1.0000000000000231E-2</v>
      </c>
      <c r="H5" s="60">
        <f t="shared" si="5"/>
        <v>1.5082527155052127E-6</v>
      </c>
      <c r="I5" s="60">
        <f t="shared" ref="I5:I68" si="6">H5+I4</f>
        <v>5.6888803420505491E-6</v>
      </c>
      <c r="J5" s="60">
        <f t="shared" si="2"/>
        <v>3.5936315902853744E-5</v>
      </c>
    </row>
    <row r="6" spans="1:17" x14ac:dyDescent="0.3">
      <c r="A6" s="70">
        <f t="shared" si="3"/>
        <v>-3.96</v>
      </c>
      <c r="B6" s="60">
        <v>0</v>
      </c>
      <c r="C6" s="70">
        <v>-3.96</v>
      </c>
      <c r="D6" s="70">
        <v>1</v>
      </c>
      <c r="E6" s="71">
        <f t="shared" si="0"/>
        <v>-7.8407999999999998</v>
      </c>
      <c r="F6" s="72">
        <f t="shared" si="4"/>
        <v>1.5692563406553226E-4</v>
      </c>
      <c r="G6" s="70">
        <f t="shared" si="1"/>
        <v>9.9999999999997868E-3</v>
      </c>
      <c r="H6" s="60">
        <f t="shared" si="5"/>
        <v>1.5692563406552892E-6</v>
      </c>
      <c r="I6" s="60">
        <f t="shared" si="6"/>
        <v>7.2581366827058384E-6</v>
      </c>
      <c r="J6" s="60">
        <f t="shared" si="2"/>
        <v>3.747488169107341E-5</v>
      </c>
    </row>
    <row r="7" spans="1:17" x14ac:dyDescent="0.3">
      <c r="A7" s="70">
        <f t="shared" si="3"/>
        <v>-3.95</v>
      </c>
      <c r="B7" s="60">
        <v>0</v>
      </c>
      <c r="C7" s="70">
        <v>-3.95</v>
      </c>
      <c r="D7" s="70">
        <v>1</v>
      </c>
      <c r="E7" s="71">
        <f t="shared" si="0"/>
        <v>-7.8012500000000005</v>
      </c>
      <c r="F7" s="72">
        <f t="shared" si="4"/>
        <v>1.6325640876624199E-4</v>
      </c>
      <c r="G7" s="70">
        <f t="shared" si="1"/>
        <v>1.0000000000000231E-2</v>
      </c>
      <c r="H7" s="60">
        <f t="shared" si="5"/>
        <v>1.6325640876624576E-6</v>
      </c>
      <c r="I7" s="60">
        <f t="shared" si="6"/>
        <v>8.8907007703682962E-6</v>
      </c>
      <c r="J7" s="60">
        <f t="shared" si="2"/>
        <v>3.9075596597787456E-5</v>
      </c>
    </row>
    <row r="8" spans="1:17" x14ac:dyDescent="0.3">
      <c r="A8" s="70">
        <f t="shared" si="3"/>
        <v>-3.94</v>
      </c>
      <c r="B8" s="60">
        <v>0</v>
      </c>
      <c r="C8" s="70">
        <v>-3.94</v>
      </c>
      <c r="D8" s="70">
        <v>1</v>
      </c>
      <c r="E8" s="71">
        <f t="shared" si="0"/>
        <v>-7.7618</v>
      </c>
      <c r="F8" s="72">
        <f t="shared" si="4"/>
        <v>1.6982559942934359E-4</v>
      </c>
      <c r="G8" s="70">
        <f t="shared" si="1"/>
        <v>9.9999999999997868E-3</v>
      </c>
      <c r="H8" s="60">
        <f t="shared" si="5"/>
        <v>1.6982559942933997E-6</v>
      </c>
      <c r="I8" s="60">
        <f t="shared" si="6"/>
        <v>1.0588956764661696E-5</v>
      </c>
      <c r="J8" s="60">
        <f t="shared" si="2"/>
        <v>4.0740804558550716E-5</v>
      </c>
    </row>
    <row r="9" spans="1:17" x14ac:dyDescent="0.3">
      <c r="A9" s="70">
        <f t="shared" si="3"/>
        <v>-3.93</v>
      </c>
      <c r="B9" s="60">
        <v>0</v>
      </c>
      <c r="C9" s="70">
        <v>-3.93</v>
      </c>
      <c r="D9" s="70">
        <v>1</v>
      </c>
      <c r="E9" s="71">
        <f t="shared" si="0"/>
        <v>-7.7224500000000003</v>
      </c>
      <c r="F9" s="72">
        <f t="shared" si="4"/>
        <v>1.7664145934757092E-4</v>
      </c>
      <c r="G9" s="70">
        <f t="shared" si="1"/>
        <v>1.0000000000000231E-2</v>
      </c>
      <c r="H9" s="60">
        <f t="shared" si="5"/>
        <v>1.7664145934757501E-6</v>
      </c>
      <c r="I9" s="60">
        <f t="shared" si="6"/>
        <v>1.2355371358137447E-5</v>
      </c>
      <c r="J9" s="60">
        <f t="shared" si="2"/>
        <v>4.2472930788761133E-5</v>
      </c>
    </row>
    <row r="10" spans="1:17" x14ac:dyDescent="0.3">
      <c r="A10" s="70">
        <f t="shared" si="3"/>
        <v>-3.92</v>
      </c>
      <c r="B10" s="60">
        <v>0</v>
      </c>
      <c r="C10" s="70">
        <v>-3.92</v>
      </c>
      <c r="D10" s="70">
        <v>1</v>
      </c>
      <c r="E10" s="71">
        <f t="shared" si="0"/>
        <v>-7.6831999999999994</v>
      </c>
      <c r="F10" s="72">
        <f t="shared" si="4"/>
        <v>1.8371249800245711E-4</v>
      </c>
      <c r="G10" s="70">
        <f t="shared" si="1"/>
        <v>9.9999999999997868E-3</v>
      </c>
      <c r="H10" s="60">
        <f t="shared" si="5"/>
        <v>1.8371249800245319E-6</v>
      </c>
      <c r="I10" s="60">
        <f t="shared" si="6"/>
        <v>1.4192496338161979E-5</v>
      </c>
      <c r="J10" s="60">
        <f t="shared" si="2"/>
        <v>4.4274484312070743E-5</v>
      </c>
    </row>
    <row r="11" spans="1:17" x14ac:dyDescent="0.3">
      <c r="A11" s="70">
        <f t="shared" si="3"/>
        <v>-3.91</v>
      </c>
      <c r="B11" s="60">
        <v>0</v>
      </c>
      <c r="C11" s="70">
        <v>-3.91</v>
      </c>
      <c r="D11" s="70">
        <v>1</v>
      </c>
      <c r="E11" s="71">
        <f t="shared" si="0"/>
        <v>-7.6440500000000009</v>
      </c>
      <c r="F11" s="72">
        <f t="shared" si="4"/>
        <v>1.9104748787459762E-4</v>
      </c>
      <c r="G11" s="70">
        <f t="shared" si="1"/>
        <v>1.0000000000000231E-2</v>
      </c>
      <c r="H11" s="60">
        <f t="shared" si="5"/>
        <v>1.9104748787460203E-6</v>
      </c>
      <c r="I11" s="60">
        <f t="shared" si="6"/>
        <v>1.6102971216907999E-5</v>
      </c>
      <c r="J11" s="60">
        <f t="shared" si="2"/>
        <v>4.6148060556208756E-5</v>
      </c>
    </row>
    <row r="12" spans="1:17" x14ac:dyDescent="0.3">
      <c r="A12" s="70">
        <f t="shared" si="3"/>
        <v>-3.9</v>
      </c>
      <c r="B12" s="60">
        <v>0</v>
      </c>
      <c r="C12" s="70">
        <v>-3.9</v>
      </c>
      <c r="D12" s="70">
        <v>1</v>
      </c>
      <c r="E12" s="71">
        <f t="shared" si="0"/>
        <v>-7.6049999999999995</v>
      </c>
      <c r="F12" s="72">
        <f t="shared" si="4"/>
        <v>1.9865547139277272E-4</v>
      </c>
      <c r="G12" s="70">
        <f t="shared" si="1"/>
        <v>9.9999999999997868E-3</v>
      </c>
      <c r="H12" s="60">
        <f t="shared" si="5"/>
        <v>1.986554713927685E-6</v>
      </c>
      <c r="I12" s="60">
        <f t="shared" si="6"/>
        <v>1.8089525930835685E-5</v>
      </c>
      <c r="J12" s="60">
        <f t="shared" si="2"/>
        <v>4.8096344017602614E-5</v>
      </c>
    </row>
    <row r="13" spans="1:17" x14ac:dyDescent="0.3">
      <c r="A13" s="70">
        <f t="shared" si="3"/>
        <v>-3.89</v>
      </c>
      <c r="B13" s="60">
        <v>0</v>
      </c>
      <c r="C13" s="70">
        <v>-3.89</v>
      </c>
      <c r="D13" s="70">
        <v>1</v>
      </c>
      <c r="E13" s="71">
        <f t="shared" si="0"/>
        <v>-7.5660500000000006</v>
      </c>
      <c r="F13" s="72">
        <f t="shared" si="4"/>
        <v>2.0654576802322548E-4</v>
      </c>
      <c r="G13" s="70">
        <f t="shared" si="1"/>
        <v>1.0000000000000231E-2</v>
      </c>
      <c r="H13" s="60">
        <f t="shared" si="5"/>
        <v>2.0654576802323024E-6</v>
      </c>
      <c r="I13" s="60">
        <f t="shared" si="6"/>
        <v>2.0154983611067989E-5</v>
      </c>
      <c r="J13" s="60">
        <f t="shared" si="2"/>
        <v>5.0122110996188361E-5</v>
      </c>
      <c r="M13" s="74"/>
    </row>
    <row r="14" spans="1:17" x14ac:dyDescent="0.3">
      <c r="A14" s="70">
        <f t="shared" si="3"/>
        <v>-3.88</v>
      </c>
      <c r="B14" s="60">
        <v>0</v>
      </c>
      <c r="C14" s="70">
        <v>-3.88</v>
      </c>
      <c r="D14" s="70">
        <v>1</v>
      </c>
      <c r="E14" s="71">
        <f t="shared" si="0"/>
        <v>-7.5271999999999997</v>
      </c>
      <c r="F14" s="72">
        <f t="shared" si="4"/>
        <v>2.1472798150036704E-4</v>
      </c>
      <c r="G14" s="70">
        <f t="shared" si="1"/>
        <v>9.9999999999997868E-3</v>
      </c>
      <c r="H14" s="60">
        <f t="shared" si="5"/>
        <v>2.1472798150036248E-6</v>
      </c>
      <c r="I14" s="60">
        <f t="shared" si="6"/>
        <v>2.2302263426071613E-5</v>
      </c>
      <c r="J14" s="60">
        <f t="shared" si="2"/>
        <v>5.2228232401820074E-5</v>
      </c>
    </row>
    <row r="15" spans="1:17" x14ac:dyDescent="0.3">
      <c r="A15" s="70">
        <f t="shared" si="3"/>
        <v>-3.87</v>
      </c>
      <c r="B15" s="60">
        <v>0</v>
      </c>
      <c r="C15" s="70">
        <v>-3.87</v>
      </c>
      <c r="D15" s="70">
        <v>1</v>
      </c>
      <c r="E15" s="71">
        <f t="shared" si="0"/>
        <v>-7.4884500000000003</v>
      </c>
      <c r="F15" s="72">
        <f t="shared" si="4"/>
        <v>2.2321200720010206E-4</v>
      </c>
      <c r="G15" s="70">
        <f t="shared" si="1"/>
        <v>1.0000000000000231E-2</v>
      </c>
      <c r="H15" s="60">
        <f t="shared" si="5"/>
        <v>2.2321200720010721E-6</v>
      </c>
      <c r="I15" s="60">
        <f t="shared" si="6"/>
        <v>2.4534383498072687E-5</v>
      </c>
      <c r="J15" s="60">
        <f t="shared" si="2"/>
        <v>5.4417676633699602E-5</v>
      </c>
    </row>
    <row r="16" spans="1:17" x14ac:dyDescent="0.3">
      <c r="A16" s="70">
        <f t="shared" si="3"/>
        <v>-3.86</v>
      </c>
      <c r="B16" s="60">
        <v>0</v>
      </c>
      <c r="C16" s="70">
        <v>-3.86</v>
      </c>
      <c r="D16" s="70">
        <v>1</v>
      </c>
      <c r="E16" s="71">
        <f t="shared" si="0"/>
        <v>-7.4497999999999998</v>
      </c>
      <c r="F16" s="72">
        <f t="shared" si="4"/>
        <v>2.3200803965694238E-4</v>
      </c>
      <c r="G16" s="70">
        <f t="shared" si="1"/>
        <v>9.9999999999997868E-3</v>
      </c>
      <c r="H16" s="60">
        <f t="shared" si="5"/>
        <v>2.3200803965693743E-6</v>
      </c>
      <c r="I16" s="60">
        <f t="shared" si="6"/>
        <v>2.6854463894642061E-5</v>
      </c>
      <c r="J16" s="60">
        <f t="shared" si="2"/>
        <v>5.6693512534256526E-5</v>
      </c>
      <c r="K16" s="361" t="s">
        <v>429</v>
      </c>
      <c r="L16" s="361"/>
      <c r="M16" s="361"/>
      <c r="N16" s="361"/>
      <c r="O16" s="361"/>
      <c r="P16" s="361"/>
      <c r="Q16" s="361"/>
    </row>
    <row r="17" spans="1:10" x14ac:dyDescent="0.3">
      <c r="A17" s="70">
        <f t="shared" si="3"/>
        <v>-3.85</v>
      </c>
      <c r="B17" s="60">
        <v>0</v>
      </c>
      <c r="C17" s="70">
        <v>-3.85</v>
      </c>
      <c r="D17" s="70">
        <v>1</v>
      </c>
      <c r="E17" s="71">
        <f t="shared" si="0"/>
        <v>-7.4112500000000008</v>
      </c>
      <c r="F17" s="72">
        <f t="shared" si="4"/>
        <v>2.4112658022599324E-4</v>
      </c>
      <c r="G17" s="70">
        <f t="shared" si="1"/>
        <v>1.0000000000000231E-2</v>
      </c>
      <c r="H17" s="60">
        <f t="shared" si="5"/>
        <v>2.4112658022599882E-6</v>
      </c>
      <c r="I17" s="60">
        <f t="shared" si="6"/>
        <v>2.9265729696902049E-5</v>
      </c>
      <c r="J17" s="60">
        <f t="shared" si="2"/>
        <v>5.9058912418922381E-5</v>
      </c>
    </row>
    <row r="18" spans="1:10" x14ac:dyDescent="0.3">
      <c r="A18" s="70">
        <f t="shared" si="3"/>
        <v>-3.84</v>
      </c>
      <c r="B18" s="60">
        <v>0</v>
      </c>
      <c r="C18" s="70">
        <v>-3.84</v>
      </c>
      <c r="D18" s="70">
        <v>1</v>
      </c>
      <c r="E18" s="71">
        <f t="shared" si="0"/>
        <v>-7.3727999999999998</v>
      </c>
      <c r="F18" s="72">
        <f t="shared" si="4"/>
        <v>2.5057844489086075E-4</v>
      </c>
      <c r="G18" s="70">
        <f t="shared" si="1"/>
        <v>9.9999999999997868E-3</v>
      </c>
      <c r="H18" s="60">
        <f t="shared" si="5"/>
        <v>2.5057844489085539E-6</v>
      </c>
      <c r="I18" s="60">
        <f t="shared" si="6"/>
        <v>3.17715141458106E-5</v>
      </c>
      <c r="J18" s="60">
        <f t="shared" si="2"/>
        <v>6.1517155183255203E-5</v>
      </c>
    </row>
    <row r="19" spans="1:10" x14ac:dyDescent="0.3">
      <c r="A19" s="70">
        <f t="shared" si="3"/>
        <v>-3.83</v>
      </c>
      <c r="B19" s="60">
        <v>0</v>
      </c>
      <c r="C19" s="70">
        <v>-3.83</v>
      </c>
      <c r="D19" s="70">
        <v>1</v>
      </c>
      <c r="E19" s="71">
        <f t="shared" si="0"/>
        <v>-7.3344500000000004</v>
      </c>
      <c r="F19" s="72">
        <f t="shared" si="4"/>
        <v>2.6037477221844247E-4</v>
      </c>
      <c r="G19" s="70">
        <f t="shared" si="1"/>
        <v>1.0000000000000231E-2</v>
      </c>
      <c r="H19" s="60">
        <f t="shared" si="5"/>
        <v>2.6037477221844849E-6</v>
      </c>
      <c r="I19" s="60">
        <f t="shared" si="6"/>
        <v>3.4375261867995084E-5</v>
      </c>
      <c r="J19" s="60">
        <f t="shared" si="2"/>
        <v>6.4071629488874441E-5</v>
      </c>
    </row>
    <row r="20" spans="1:10" x14ac:dyDescent="0.3">
      <c r="A20" s="70">
        <f t="shared" si="3"/>
        <v>-3.82</v>
      </c>
      <c r="B20" s="60">
        <v>0</v>
      </c>
      <c r="C20" s="70">
        <v>-3.82</v>
      </c>
      <c r="D20" s="70">
        <v>1</v>
      </c>
      <c r="E20" s="71">
        <f t="shared" si="0"/>
        <v>-7.2961999999999998</v>
      </c>
      <c r="F20" s="72">
        <f t="shared" si="4"/>
        <v>2.70527031461521E-4</v>
      </c>
      <c r="G20" s="70">
        <f t="shared" si="1"/>
        <v>9.9999999999997868E-3</v>
      </c>
      <c r="H20" s="60">
        <f t="shared" si="5"/>
        <v>2.7052703146151524E-6</v>
      </c>
      <c r="I20" s="60">
        <f t="shared" si="6"/>
        <v>3.708053218261024E-5</v>
      </c>
      <c r="J20" s="60">
        <f t="shared" si="2"/>
        <v>6.6725837029684654E-5</v>
      </c>
    </row>
    <row r="21" spans="1:10" x14ac:dyDescent="0.3">
      <c r="A21" s="70">
        <f t="shared" si="3"/>
        <v>-3.81</v>
      </c>
      <c r="B21" s="60">
        <v>0</v>
      </c>
      <c r="C21" s="70">
        <v>-3.81</v>
      </c>
      <c r="D21" s="70">
        <v>1</v>
      </c>
      <c r="E21" s="71">
        <f t="shared" si="0"/>
        <v>-7.2580499999999999</v>
      </c>
      <c r="F21" s="72">
        <f t="shared" si="4"/>
        <v>2.8104703080998632E-4</v>
      </c>
      <c r="G21" s="70">
        <f t="shared" si="1"/>
        <v>1.0000000000000231E-2</v>
      </c>
      <c r="H21" s="60">
        <f t="shared" si="5"/>
        <v>2.8104703080999282E-6</v>
      </c>
      <c r="I21" s="60">
        <f t="shared" si="6"/>
        <v>3.9891002490710168E-5</v>
      </c>
      <c r="J21" s="60">
        <f t="shared" si="2"/>
        <v>6.9483395879865075E-5</v>
      </c>
    </row>
    <row r="22" spans="1:10" x14ac:dyDescent="0.3">
      <c r="A22" s="70">
        <f t="shared" si="3"/>
        <v>-3.8</v>
      </c>
      <c r="B22" s="60">
        <v>0</v>
      </c>
      <c r="C22" s="70">
        <v>-3.8</v>
      </c>
      <c r="D22" s="70">
        <v>1</v>
      </c>
      <c r="E22" s="71">
        <f t="shared" si="0"/>
        <v>-7.22</v>
      </c>
      <c r="F22" s="72">
        <f t="shared" si="4"/>
        <v>2.9194692579146027E-4</v>
      </c>
      <c r="G22" s="70">
        <f t="shared" si="1"/>
        <v>9.9999999999997868E-3</v>
      </c>
      <c r="H22" s="60">
        <f t="shared" si="5"/>
        <v>2.9194692579145406E-6</v>
      </c>
      <c r="I22" s="60">
        <f t="shared" si="6"/>
        <v>4.2810471748624707E-5</v>
      </c>
      <c r="J22" s="60">
        <f t="shared" si="2"/>
        <v>7.234804392511999E-5</v>
      </c>
    </row>
    <row r="23" spans="1:10" x14ac:dyDescent="0.3">
      <c r="A23" s="70">
        <f t="shared" si="3"/>
        <v>-3.79</v>
      </c>
      <c r="B23" s="60">
        <v>0</v>
      </c>
      <c r="C23" s="70">
        <v>-3.79</v>
      </c>
      <c r="D23" s="70">
        <v>1</v>
      </c>
      <c r="E23" s="71">
        <f t="shared" si="0"/>
        <v>-7.1820500000000003</v>
      </c>
      <c r="F23" s="72">
        <f t="shared" si="4"/>
        <v>3.0323922782200417E-4</v>
      </c>
      <c r="G23" s="70">
        <f t="shared" si="1"/>
        <v>9.9999999999900169E-3</v>
      </c>
      <c r="H23" s="60">
        <f t="shared" si="5"/>
        <v>3.0323922782170146E-6</v>
      </c>
      <c r="I23" s="60">
        <f t="shared" si="6"/>
        <v>4.5842864026841725E-5</v>
      </c>
      <c r="J23" s="60">
        <f t="shared" si="2"/>
        <v>7.5323642378683189E-5</v>
      </c>
    </row>
    <row r="24" spans="1:10" x14ac:dyDescent="0.3">
      <c r="A24" s="70">
        <f t="shared" si="3"/>
        <v>-3.78000000000001</v>
      </c>
      <c r="B24" s="60">
        <v>0</v>
      </c>
      <c r="C24" s="70">
        <v>-3.78000000000001</v>
      </c>
      <c r="D24" s="70">
        <v>1</v>
      </c>
      <c r="E24" s="71">
        <f t="shared" si="0"/>
        <v>-7.1442000000000379</v>
      </c>
      <c r="F24" s="72">
        <f t="shared" si="4"/>
        <v>3.1493681290750979E-4</v>
      </c>
      <c r="G24" s="70">
        <f t="shared" si="1"/>
        <v>1.0000000000010001E-2</v>
      </c>
      <c r="H24" s="60">
        <f t="shared" si="5"/>
        <v>3.1493681290782474E-6</v>
      </c>
      <c r="I24" s="60">
        <f t="shared" si="6"/>
        <v>4.8992232155919971E-5</v>
      </c>
      <c r="J24" s="60">
        <f t="shared" si="2"/>
        <v>7.8414179383581867E-5</v>
      </c>
    </row>
    <row r="25" spans="1:10" x14ac:dyDescent="0.3">
      <c r="A25" s="70">
        <f t="shared" si="3"/>
        <v>-3.77</v>
      </c>
      <c r="B25" s="60">
        <v>0</v>
      </c>
      <c r="C25" s="70">
        <v>-3.77</v>
      </c>
      <c r="D25" s="70">
        <v>1</v>
      </c>
      <c r="E25" s="71">
        <f t="shared" si="0"/>
        <v>-7.1064499999999997</v>
      </c>
      <c r="F25" s="72">
        <f t="shared" si="4"/>
        <v>3.2705293049637498E-4</v>
      </c>
      <c r="G25" s="70">
        <f t="shared" si="1"/>
        <v>9.9999999999900169E-3</v>
      </c>
      <c r="H25" s="60">
        <f t="shared" si="5"/>
        <v>3.2705293049604848E-6</v>
      </c>
      <c r="I25" s="60">
        <f t="shared" si="6"/>
        <v>5.2262761460880456E-5</v>
      </c>
      <c r="J25" s="60">
        <f t="shared" si="2"/>
        <v>8.1623773702686067E-5</v>
      </c>
    </row>
    <row r="26" spans="1:10" x14ac:dyDescent="0.3">
      <c r="A26" s="70">
        <f t="shared" si="3"/>
        <v>-3.76000000000001</v>
      </c>
      <c r="B26" s="60">
        <v>0</v>
      </c>
      <c r="C26" s="70">
        <v>-3.76000000000001</v>
      </c>
      <c r="D26" s="70">
        <v>1</v>
      </c>
      <c r="E26" s="71">
        <f t="shared" si="0"/>
        <v>-7.0688000000000377</v>
      </c>
      <c r="F26" s="72">
        <f t="shared" si="4"/>
        <v>3.3960121248364182E-4</v>
      </c>
      <c r="G26" s="70">
        <f t="shared" si="1"/>
        <v>1.0000000000010001E-2</v>
      </c>
      <c r="H26" s="60">
        <f t="shared" si="5"/>
        <v>3.3960121248398146E-6</v>
      </c>
      <c r="I26" s="60">
        <f t="shared" si="6"/>
        <v>5.565877358572027E-5</v>
      </c>
      <c r="J26" s="60">
        <f t="shared" si="2"/>
        <v>8.4956678497994325E-5</v>
      </c>
    </row>
    <row r="27" spans="1:10" x14ac:dyDescent="0.3">
      <c r="A27" s="70">
        <f t="shared" si="3"/>
        <v>-3.75</v>
      </c>
      <c r="B27" s="60">
        <v>0</v>
      </c>
      <c r="C27" s="70">
        <v>-3.75</v>
      </c>
      <c r="D27" s="70">
        <v>1</v>
      </c>
      <c r="E27" s="71">
        <f t="shared" si="0"/>
        <v>-7.03125</v>
      </c>
      <c r="F27" s="72">
        <f t="shared" si="4"/>
        <v>3.5259568236744541E-4</v>
      </c>
      <c r="G27" s="70">
        <f t="shared" si="1"/>
        <v>9.9999999999900169E-3</v>
      </c>
      <c r="H27" s="60">
        <f t="shared" si="5"/>
        <v>3.5259568236709339E-6</v>
      </c>
      <c r="I27" s="60">
        <f t="shared" si="6"/>
        <v>5.9184730409391201E-5</v>
      </c>
      <c r="J27" s="60">
        <f t="shared" si="2"/>
        <v>8.841728520080376E-5</v>
      </c>
    </row>
    <row r="28" spans="1:10" x14ac:dyDescent="0.3">
      <c r="A28" s="70">
        <f t="shared" si="3"/>
        <v>-3.74000000000001</v>
      </c>
      <c r="B28" s="60">
        <v>0</v>
      </c>
      <c r="C28" s="70">
        <v>-3.74000000000001</v>
      </c>
      <c r="D28" s="70">
        <v>1</v>
      </c>
      <c r="E28" s="71">
        <f t="shared" si="0"/>
        <v>-6.9938000000000375</v>
      </c>
      <c r="F28" s="72">
        <f t="shared" si="4"/>
        <v>3.6605076455732168E-4</v>
      </c>
      <c r="G28" s="70">
        <f t="shared" si="1"/>
        <v>9.9999999999997868E-3</v>
      </c>
      <c r="H28" s="60">
        <f t="shared" si="5"/>
        <v>3.6605076455731385E-6</v>
      </c>
      <c r="I28" s="60">
        <f t="shared" si="6"/>
        <v>6.2845238054964344E-5</v>
      </c>
      <c r="J28" s="60">
        <f t="shared" si="2"/>
        <v>9.201012747410165E-5</v>
      </c>
    </row>
    <row r="29" spans="1:10" x14ac:dyDescent="0.3">
      <c r="A29" s="70">
        <f t="shared" si="3"/>
        <v>-3.7300000000000102</v>
      </c>
      <c r="B29" s="60">
        <v>0</v>
      </c>
      <c r="C29" s="70">
        <v>-3.7300000000000102</v>
      </c>
      <c r="D29" s="70">
        <v>1</v>
      </c>
      <c r="E29" s="71">
        <f t="shared" si="0"/>
        <v>-6.9564500000000384</v>
      </c>
      <c r="F29" s="72">
        <f t="shared" si="4"/>
        <v>3.7998129383530694E-4</v>
      </c>
      <c r="G29" s="70">
        <f t="shared" si="1"/>
        <v>1.0000000000000231E-2</v>
      </c>
      <c r="H29" s="60">
        <f t="shared" si="5"/>
        <v>3.799812938353157E-6</v>
      </c>
      <c r="I29" s="60">
        <f t="shared" si="6"/>
        <v>6.6645050993317502E-5</v>
      </c>
      <c r="J29" s="60">
        <f t="shared" si="2"/>
        <v>9.5739885268910355E-5</v>
      </c>
    </row>
    <row r="30" spans="1:10" x14ac:dyDescent="0.3">
      <c r="A30" s="70">
        <f t="shared" si="3"/>
        <v>-3.72000000000001</v>
      </c>
      <c r="B30" s="60">
        <v>0</v>
      </c>
      <c r="C30" s="70">
        <v>-3.72000000000001</v>
      </c>
      <c r="D30" s="70">
        <v>1</v>
      </c>
      <c r="E30" s="71">
        <f t="shared" si="0"/>
        <v>-6.9192000000000373</v>
      </c>
      <c r="F30" s="72">
        <f t="shared" si="4"/>
        <v>3.9440252496914186E-4</v>
      </c>
      <c r="G30" s="70">
        <f t="shared" si="1"/>
        <v>9.9999999999997868E-3</v>
      </c>
      <c r="H30" s="60">
        <f t="shared" si="5"/>
        <v>3.9440252496913342E-6</v>
      </c>
      <c r="I30" s="60">
        <f t="shared" si="6"/>
        <v>7.0589076243008839E-5</v>
      </c>
      <c r="J30" s="60">
        <f t="shared" si="2"/>
        <v>9.9611388975912548E-5</v>
      </c>
    </row>
    <row r="31" spans="1:10" x14ac:dyDescent="0.3">
      <c r="A31" s="70">
        <f t="shared" si="3"/>
        <v>-3.7100000000000102</v>
      </c>
      <c r="B31" s="60">
        <v>0</v>
      </c>
      <c r="C31" s="70">
        <v>-3.7100000000000102</v>
      </c>
      <c r="D31" s="70">
        <v>1</v>
      </c>
      <c r="E31" s="71">
        <f t="shared" si="0"/>
        <v>-6.8820500000000377</v>
      </c>
      <c r="F31" s="72">
        <f t="shared" si="4"/>
        <v>4.0933014247806321E-4</v>
      </c>
      <c r="G31" s="70">
        <f t="shared" si="1"/>
        <v>1.0000000000000231E-2</v>
      </c>
      <c r="H31" s="60">
        <f t="shared" si="5"/>
        <v>4.0933014247807267E-6</v>
      </c>
      <c r="I31" s="60">
        <f t="shared" si="6"/>
        <v>7.4682377667789566E-5</v>
      </c>
      <c r="J31" s="60">
        <f t="shared" si="2"/>
        <v>1.0362962367402678E-4</v>
      </c>
    </row>
    <row r="32" spans="1:10" x14ac:dyDescent="0.3">
      <c r="A32" s="70">
        <f t="shared" si="3"/>
        <v>-3.7000000000000099</v>
      </c>
      <c r="B32" s="60">
        <v>0</v>
      </c>
      <c r="C32" s="70">
        <v>-3.7000000000000099</v>
      </c>
      <c r="D32" s="70">
        <v>1</v>
      </c>
      <c r="E32" s="71">
        <f t="shared" si="0"/>
        <v>-6.8450000000000371</v>
      </c>
      <c r="F32" s="72">
        <f t="shared" si="4"/>
        <v>4.2478027055073593E-4</v>
      </c>
      <c r="G32" s="70">
        <f t="shared" si="1"/>
        <v>9.9999999999997868E-3</v>
      </c>
      <c r="H32" s="60">
        <f t="shared" si="5"/>
        <v>4.2478027055072687E-6</v>
      </c>
      <c r="I32" s="60">
        <f t="shared" si="6"/>
        <v>7.8930180373296829E-5</v>
      </c>
      <c r="J32" s="60">
        <f t="shared" si="2"/>
        <v>1.0779973347738398E-4</v>
      </c>
    </row>
    <row r="33" spans="1:10" x14ac:dyDescent="0.3">
      <c r="A33" s="70">
        <f t="shared" si="3"/>
        <v>-3.6900000000000102</v>
      </c>
      <c r="B33" s="60">
        <v>0</v>
      </c>
      <c r="C33" s="70">
        <v>-3.6900000000000102</v>
      </c>
      <c r="D33" s="70">
        <v>1</v>
      </c>
      <c r="E33" s="71">
        <f t="shared" si="0"/>
        <v>-6.8080500000000379</v>
      </c>
      <c r="F33" s="72">
        <f t="shared" si="4"/>
        <v>4.4076948311511571E-4</v>
      </c>
      <c r="G33" s="70">
        <f t="shared" si="1"/>
        <v>1.0000000000000231E-2</v>
      </c>
      <c r="H33" s="60">
        <f t="shared" si="5"/>
        <v>4.4076948311512586E-6</v>
      </c>
      <c r="I33" s="60">
        <f t="shared" si="6"/>
        <v>8.333787520444809E-5</v>
      </c>
      <c r="J33" s="60">
        <f t="shared" si="2"/>
        <v>1.1212702598224243E-4</v>
      </c>
    </row>
    <row r="34" spans="1:10" x14ac:dyDescent="0.3">
      <c r="A34" s="70">
        <f t="shared" si="3"/>
        <v>-3.6800000000000099</v>
      </c>
      <c r="B34" s="60">
        <v>0</v>
      </c>
      <c r="C34" s="70">
        <v>-3.6800000000000099</v>
      </c>
      <c r="D34" s="70">
        <v>1</v>
      </c>
      <c r="E34" s="71">
        <f t="shared" ref="E34:E66" si="7">-(A34-B34)*(A34-B34)/2</f>
        <v>-6.7712000000000367</v>
      </c>
      <c r="F34" s="72">
        <f t="shared" si="4"/>
        <v>4.5731481405984016E-4</v>
      </c>
      <c r="G34" s="70">
        <f t="shared" si="1"/>
        <v>9.9999999999997868E-3</v>
      </c>
      <c r="H34" s="60">
        <f t="shared" si="5"/>
        <v>4.5731481405983043E-6</v>
      </c>
      <c r="I34" s="60">
        <f t="shared" si="6"/>
        <v>8.7911023345046388E-5</v>
      </c>
      <c r="J34" s="60">
        <f t="shared" si="2"/>
        <v>1.1661697681536354E-4</v>
      </c>
    </row>
    <row r="35" spans="1:10" x14ac:dyDescent="0.3">
      <c r="A35" s="70">
        <f t="shared" si="3"/>
        <v>-3.6700000000000101</v>
      </c>
      <c r="B35" s="60">
        <v>0</v>
      </c>
      <c r="C35" s="70">
        <v>-3.6700000000000101</v>
      </c>
      <c r="D35" s="70">
        <v>1</v>
      </c>
      <c r="E35" s="71">
        <f t="shared" si="7"/>
        <v>-6.7344500000000371</v>
      </c>
      <c r="F35" s="72">
        <f t="shared" si="4"/>
        <v>4.7443376760660297E-4</v>
      </c>
      <c r="G35" s="70">
        <f t="shared" si="1"/>
        <v>1.0000000000000231E-2</v>
      </c>
      <c r="H35" s="60">
        <f t="shared" si="5"/>
        <v>4.7443376760661392E-6</v>
      </c>
      <c r="I35" s="60">
        <f t="shared" si="6"/>
        <v>9.2655361021112527E-5</v>
      </c>
      <c r="J35" s="60">
        <f t="shared" si="2"/>
        <v>1.2127523428535299E-4</v>
      </c>
    </row>
    <row r="36" spans="1:10" x14ac:dyDescent="0.3">
      <c r="A36" s="70">
        <f t="shared" si="3"/>
        <v>-3.6600000000000099</v>
      </c>
      <c r="B36" s="60">
        <v>0</v>
      </c>
      <c r="C36" s="70">
        <v>-3.6600000000000099</v>
      </c>
      <c r="D36" s="70">
        <v>1</v>
      </c>
      <c r="E36" s="71">
        <f t="shared" si="7"/>
        <v>-6.6978000000000364</v>
      </c>
      <c r="F36" s="72">
        <f t="shared" si="4"/>
        <v>4.9214432883287567E-4</v>
      </c>
      <c r="G36" s="70">
        <f t="shared" si="1"/>
        <v>9.9999999999997868E-3</v>
      </c>
      <c r="H36" s="60">
        <f t="shared" si="5"/>
        <v>4.9214432883286517E-6</v>
      </c>
      <c r="I36" s="60">
        <f t="shared" si="6"/>
        <v>9.7576804309441181E-5</v>
      </c>
      <c r="J36" s="60">
        <f t="shared" si="2"/>
        <v>1.2610762413848173E-4</v>
      </c>
    </row>
    <row r="37" spans="1:10" x14ac:dyDescent="0.3">
      <c r="A37" s="70">
        <f t="shared" si="3"/>
        <v>-3.6500000000000101</v>
      </c>
      <c r="B37" s="60">
        <v>0</v>
      </c>
      <c r="C37" s="70">
        <v>-3.6500000000000101</v>
      </c>
      <c r="D37" s="70">
        <v>1</v>
      </c>
      <c r="E37" s="71">
        <f t="shared" si="7"/>
        <v>-6.6612500000000372</v>
      </c>
      <c r="F37" s="72">
        <f t="shared" si="4"/>
        <v>5.1046497434416652E-4</v>
      </c>
      <c r="G37" s="70">
        <f t="shared" si="1"/>
        <v>1.0000000000000231E-2</v>
      </c>
      <c r="H37" s="60">
        <f t="shared" si="5"/>
        <v>5.1046497434417827E-6</v>
      </c>
      <c r="I37" s="60">
        <f t="shared" si="6"/>
        <v>1.0268145405288297E-4</v>
      </c>
      <c r="J37" s="60">
        <f t="shared" si="2"/>
        <v>1.3112015442047928E-4</v>
      </c>
    </row>
    <row r="38" spans="1:10" x14ac:dyDescent="0.3">
      <c r="A38" s="70">
        <f t="shared" si="3"/>
        <v>-3.6400000000000099</v>
      </c>
      <c r="B38" s="60">
        <v>0</v>
      </c>
      <c r="C38" s="70">
        <v>-3.6400000000000099</v>
      </c>
      <c r="D38" s="70">
        <v>1</v>
      </c>
      <c r="E38" s="71">
        <f t="shared" si="7"/>
        <v>-6.624800000000036</v>
      </c>
      <c r="F38" s="72">
        <f t="shared" si="4"/>
        <v>5.2941468309491589E-4</v>
      </c>
      <c r="G38" s="70">
        <f t="shared" si="1"/>
        <v>9.9999999999997868E-3</v>
      </c>
      <c r="H38" s="60">
        <f t="shared" si="5"/>
        <v>5.2941468309490459E-6</v>
      </c>
      <c r="I38" s="60">
        <f t="shared" si="6"/>
        <v>1.0797560088383201E-4</v>
      </c>
      <c r="J38" s="60">
        <f t="shared" si="2"/>
        <v>1.3631902044579662E-4</v>
      </c>
    </row>
    <row r="39" spans="1:10" x14ac:dyDescent="0.3">
      <c r="A39" s="70">
        <f t="shared" si="3"/>
        <v>-3.6300000000000101</v>
      </c>
      <c r="B39" s="60">
        <v>0</v>
      </c>
      <c r="C39" s="70">
        <v>-3.6300000000000101</v>
      </c>
      <c r="D39" s="70">
        <v>1</v>
      </c>
      <c r="E39" s="71">
        <f t="shared" si="7"/>
        <v>-6.5884500000000363</v>
      </c>
      <c r="F39" s="72">
        <f t="shared" si="4"/>
        <v>5.4901294735693875E-4</v>
      </c>
      <c r="G39" s="70">
        <f t="shared" si="1"/>
        <v>1.0000000000000231E-2</v>
      </c>
      <c r="H39" s="60">
        <f t="shared" si="5"/>
        <v>5.4901294735695143E-6</v>
      </c>
      <c r="I39" s="60">
        <f t="shared" si="6"/>
        <v>1.1346573035740152E-4</v>
      </c>
      <c r="J39" s="60">
        <f t="shared" si="2"/>
        <v>1.4171060987581356E-4</v>
      </c>
    </row>
    <row r="40" spans="1:10" x14ac:dyDescent="0.3">
      <c r="A40" s="70">
        <f t="shared" si="3"/>
        <v>-3.6200000000000099</v>
      </c>
      <c r="B40" s="60">
        <v>0</v>
      </c>
      <c r="C40" s="70">
        <v>-3.6200000000000099</v>
      </c>
      <c r="D40" s="70">
        <v>1</v>
      </c>
      <c r="E40" s="71">
        <f t="shared" si="7"/>
        <v>-6.5522000000000356</v>
      </c>
      <c r="F40" s="72">
        <f t="shared" si="4"/>
        <v>5.6927978383423234E-4</v>
      </c>
      <c r="G40" s="70">
        <f t="shared" si="1"/>
        <v>9.9999999999997868E-3</v>
      </c>
      <c r="H40" s="60">
        <f t="shared" si="5"/>
        <v>5.6927978383422021E-6</v>
      </c>
      <c r="I40" s="60">
        <f t="shared" si="6"/>
        <v>1.1915852819574372E-4</v>
      </c>
      <c r="J40" s="60">
        <f t="shared" si="2"/>
        <v>1.4730150790746705E-4</v>
      </c>
    </row>
    <row r="41" spans="1:10" x14ac:dyDescent="0.3">
      <c r="A41" s="70">
        <f t="shared" si="3"/>
        <v>-3.6100000000000101</v>
      </c>
      <c r="B41" s="60">
        <v>0</v>
      </c>
      <c r="C41" s="70">
        <v>-3.6100000000000101</v>
      </c>
      <c r="D41" s="70">
        <v>1</v>
      </c>
      <c r="E41" s="71">
        <f t="shared" si="7"/>
        <v>-6.5160500000000363</v>
      </c>
      <c r="F41" s="72">
        <f t="shared" si="4"/>
        <v>5.9023574492276414E-4</v>
      </c>
      <c r="G41" s="70">
        <f t="shared" si="1"/>
        <v>1.0000000000000231E-2</v>
      </c>
      <c r="H41" s="60">
        <f t="shared" si="5"/>
        <v>5.9023574492277779E-6</v>
      </c>
      <c r="I41" s="60">
        <f t="shared" si="6"/>
        <v>1.250608856449715E-4</v>
      </c>
      <c r="J41" s="60">
        <f t="shared" si="2"/>
        <v>1.5309850257374917E-4</v>
      </c>
    </row>
    <row r="42" spans="1:10" x14ac:dyDescent="0.3">
      <c r="A42" s="70">
        <f t="shared" si="3"/>
        <v>-3.6000000000000099</v>
      </c>
      <c r="B42" s="60">
        <v>0</v>
      </c>
      <c r="C42" s="70">
        <v>-3.6000000000000099</v>
      </c>
      <c r="D42" s="70">
        <v>1</v>
      </c>
      <c r="E42" s="71">
        <f t="shared" si="7"/>
        <v>-6.4800000000000351</v>
      </c>
      <c r="F42" s="72">
        <f t="shared" si="4"/>
        <v>6.1190193011375076E-4</v>
      </c>
      <c r="G42" s="70">
        <f t="shared" si="1"/>
        <v>9.9999999999997868E-3</v>
      </c>
      <c r="H42" s="60">
        <f t="shared" si="5"/>
        <v>6.1190193011373775E-6</v>
      </c>
      <c r="I42" s="60">
        <f t="shared" si="6"/>
        <v>1.3117990494610889E-4</v>
      </c>
      <c r="J42" s="60">
        <f t="shared" si="2"/>
        <v>1.5910859015752789E-4</v>
      </c>
    </row>
    <row r="43" spans="1:10" x14ac:dyDescent="0.3">
      <c r="A43" s="70">
        <f t="shared" si="3"/>
        <v>-3.5900000000000101</v>
      </c>
      <c r="B43" s="60">
        <v>0</v>
      </c>
      <c r="C43" s="70">
        <v>-3.5900000000000101</v>
      </c>
      <c r="D43" s="70">
        <v>1</v>
      </c>
      <c r="E43" s="71">
        <f t="shared" si="7"/>
        <v>-6.4440500000000362</v>
      </c>
      <c r="F43" s="72">
        <f t="shared" si="4"/>
        <v>6.3429999753873451E-4</v>
      </c>
      <c r="G43" s="70">
        <f t="shared" si="1"/>
        <v>1.0000000000000231E-2</v>
      </c>
      <c r="H43" s="60">
        <f t="shared" si="5"/>
        <v>6.3429999753874918E-6</v>
      </c>
      <c r="I43" s="60">
        <f t="shared" si="6"/>
        <v>1.3752290492149638E-4</v>
      </c>
      <c r="J43" s="60">
        <f t="shared" si="2"/>
        <v>1.6533898072010328E-4</v>
      </c>
    </row>
    <row r="44" spans="1:10" x14ac:dyDescent="0.3">
      <c r="A44" s="70">
        <f t="shared" si="3"/>
        <v>-3.5800000000000098</v>
      </c>
      <c r="B44" s="60">
        <v>0</v>
      </c>
      <c r="C44" s="70">
        <v>-3.5800000000000098</v>
      </c>
      <c r="D44" s="70">
        <v>1</v>
      </c>
      <c r="E44" s="71">
        <f t="shared" si="7"/>
        <v>-6.4082000000000354</v>
      </c>
      <c r="F44" s="72">
        <f t="shared" si="4"/>
        <v>6.5745217565465314E-4</v>
      </c>
      <c r="G44" s="70">
        <f t="shared" si="1"/>
        <v>9.9999999999997868E-3</v>
      </c>
      <c r="H44" s="60">
        <f t="shared" si="5"/>
        <v>6.5745217565463914E-6</v>
      </c>
      <c r="I44" s="60">
        <f t="shared" si="6"/>
        <v>1.4409742667804276E-4</v>
      </c>
      <c r="J44" s="60">
        <f t="shared" si="2"/>
        <v>1.7179710374592397E-4</v>
      </c>
    </row>
    <row r="45" spans="1:10" x14ac:dyDescent="0.3">
      <c r="A45" s="70">
        <f t="shared" si="3"/>
        <v>-3.5700000000000101</v>
      </c>
      <c r="B45" s="60">
        <v>0</v>
      </c>
      <c r="C45" s="70">
        <v>-3.5700000000000101</v>
      </c>
      <c r="D45" s="70">
        <v>1</v>
      </c>
      <c r="E45" s="71">
        <f t="shared" si="7"/>
        <v>-6.3724500000000361</v>
      </c>
      <c r="F45" s="72">
        <f t="shared" si="4"/>
        <v>6.8138127506686729E-4</v>
      </c>
      <c r="G45" s="70">
        <f t="shared" si="1"/>
        <v>1.0000000000000231E-2</v>
      </c>
      <c r="H45" s="60">
        <f t="shared" si="5"/>
        <v>6.8138127506688305E-6</v>
      </c>
      <c r="I45" s="60">
        <f t="shared" si="6"/>
        <v>1.509112394287116E-4</v>
      </c>
      <c r="J45" s="60">
        <f t="shared" si="2"/>
        <v>1.7849061390484041E-4</v>
      </c>
    </row>
    <row r="46" spans="1:10" x14ac:dyDescent="0.3">
      <c r="A46" s="70">
        <f t="shared" si="3"/>
        <v>-3.5600000000000098</v>
      </c>
      <c r="B46" s="60">
        <v>0</v>
      </c>
      <c r="C46" s="70">
        <v>-3.5600000000000098</v>
      </c>
      <c r="D46" s="70">
        <v>1</v>
      </c>
      <c r="E46" s="71">
        <f t="shared" si="7"/>
        <v>-6.3368000000000348</v>
      </c>
      <c r="F46" s="72">
        <f t="shared" si="4"/>
        <v>7.061107004880117E-4</v>
      </c>
      <c r="G46" s="70">
        <f t="shared" si="1"/>
        <v>9.9999999999997868E-3</v>
      </c>
      <c r="H46" s="60">
        <f t="shared" si="5"/>
        <v>7.0611070048799669E-6</v>
      </c>
      <c r="I46" s="60">
        <f t="shared" si="6"/>
        <v>1.5797234643359157E-4</v>
      </c>
      <c r="J46" s="60">
        <f t="shared" si="2"/>
        <v>1.8542739693327065E-4</v>
      </c>
    </row>
    <row r="47" spans="1:10" x14ac:dyDescent="0.3">
      <c r="A47" s="70">
        <f t="shared" si="3"/>
        <v>-3.55000000000001</v>
      </c>
      <c r="B47" s="60">
        <v>0</v>
      </c>
      <c r="C47" s="70">
        <v>-3.55000000000001</v>
      </c>
      <c r="D47" s="70">
        <v>1</v>
      </c>
      <c r="E47" s="71">
        <f t="shared" si="7"/>
        <v>-6.301250000000036</v>
      </c>
      <c r="F47" s="72">
        <f t="shared" si="4"/>
        <v>7.3166446283028422E-4</v>
      </c>
      <c r="G47" s="70">
        <f t="shared" si="1"/>
        <v>1.0000000000000231E-2</v>
      </c>
      <c r="H47" s="60">
        <f t="shared" si="5"/>
        <v>7.3166446283030109E-6</v>
      </c>
      <c r="I47" s="60">
        <f t="shared" si="6"/>
        <v>1.6528899106189459E-4</v>
      </c>
      <c r="J47" s="60">
        <f t="shared" si="2"/>
        <v>1.9261557563562541E-4</v>
      </c>
    </row>
    <row r="48" spans="1:10" x14ac:dyDescent="0.3">
      <c r="A48" s="70">
        <f t="shared" si="3"/>
        <v>-3.5400000000000098</v>
      </c>
      <c r="B48" s="60">
        <v>0</v>
      </c>
      <c r="C48" s="70">
        <v>-3.5400000000000098</v>
      </c>
      <c r="D48" s="70">
        <v>1</v>
      </c>
      <c r="E48" s="71">
        <f t="shared" si="7"/>
        <v>-6.2658000000000351</v>
      </c>
      <c r="F48" s="72">
        <f t="shared" si="4"/>
        <v>7.5806719142868396E-4</v>
      </c>
      <c r="G48" s="70">
        <f t="shared" si="1"/>
        <v>9.9999999999997868E-3</v>
      </c>
      <c r="H48" s="60">
        <f t="shared" si="5"/>
        <v>7.580671914286678E-6</v>
      </c>
      <c r="I48" s="60">
        <f t="shared" si="6"/>
        <v>1.7286966297618125E-4</v>
      </c>
      <c r="J48" s="60">
        <f t="shared" si="2"/>
        <v>2.0006351600731245E-4</v>
      </c>
    </row>
    <row r="49" spans="1:10" x14ac:dyDescent="0.3">
      <c r="A49" s="70">
        <f t="shared" si="3"/>
        <v>-3.53000000000001</v>
      </c>
      <c r="B49" s="60">
        <v>0</v>
      </c>
      <c r="C49" s="70">
        <v>-3.53000000000001</v>
      </c>
      <c r="D49" s="70">
        <v>1</v>
      </c>
      <c r="E49" s="71">
        <f t="shared" si="7"/>
        <v>-6.2304500000000358</v>
      </c>
      <c r="F49" s="72">
        <f t="shared" si="4"/>
        <v>7.8534414639244135E-4</v>
      </c>
      <c r="G49" s="70">
        <f t="shared" si="1"/>
        <v>1.0000000000000231E-2</v>
      </c>
      <c r="H49" s="60">
        <f t="shared" si="5"/>
        <v>7.8534414639245943E-6</v>
      </c>
      <c r="I49" s="60">
        <f t="shared" si="6"/>
        <v>1.8072310444010585E-4</v>
      </c>
      <c r="J49" s="60">
        <f t="shared" si="2"/>
        <v>2.0777983348061309E-4</v>
      </c>
    </row>
    <row r="50" spans="1:10" x14ac:dyDescent="0.3">
      <c r="A50" s="70">
        <f t="shared" si="3"/>
        <v>-3.5200000000000098</v>
      </c>
      <c r="B50" s="60">
        <v>0</v>
      </c>
      <c r="C50" s="70">
        <v>-3.5200000000000098</v>
      </c>
      <c r="D50" s="70">
        <v>1</v>
      </c>
      <c r="E50" s="71">
        <f t="shared" si="7"/>
        <v>-6.1952000000000345</v>
      </c>
      <c r="F50" s="72">
        <f t="shared" si="4"/>
        <v>8.1352123108178022E-4</v>
      </c>
      <c r="G50" s="70">
        <f t="shared" si="1"/>
        <v>9.9999999999997868E-3</v>
      </c>
      <c r="H50" s="60">
        <f t="shared" si="5"/>
        <v>8.1352123108176295E-6</v>
      </c>
      <c r="I50" s="60">
        <f t="shared" si="6"/>
        <v>1.8885831675092348E-4</v>
      </c>
      <c r="J50" s="60">
        <f t="shared" si="2"/>
        <v>2.1577339929470943E-4</v>
      </c>
    </row>
    <row r="51" spans="1:10" x14ac:dyDescent="0.3">
      <c r="A51" s="70">
        <f t="shared" si="3"/>
        <v>-3.51000000000001</v>
      </c>
      <c r="B51" s="60">
        <v>0</v>
      </c>
      <c r="C51" s="70">
        <v>-3.51000000000001</v>
      </c>
      <c r="D51" s="70">
        <v>1</v>
      </c>
      <c r="E51" s="71">
        <f t="shared" si="7"/>
        <v>-6.1600500000000347</v>
      </c>
      <c r="F51" s="72">
        <f t="shared" si="4"/>
        <v>8.4262500470687275E-4</v>
      </c>
      <c r="G51" s="70">
        <f t="shared" si="1"/>
        <v>9.9999999999997868E-3</v>
      </c>
      <c r="H51" s="60">
        <f t="shared" si="5"/>
        <v>8.4262500470685477E-6</v>
      </c>
      <c r="I51" s="60">
        <f t="shared" si="6"/>
        <v>1.9728456679799202E-4</v>
      </c>
      <c r="J51" s="60">
        <f t="shared" si="2"/>
        <v>2.24053346991084E-4</v>
      </c>
    </row>
    <row r="52" spans="1:10" x14ac:dyDescent="0.3">
      <c r="A52" s="70">
        <f t="shared" si="3"/>
        <v>-3.5000000000000102</v>
      </c>
      <c r="B52" s="60">
        <v>0</v>
      </c>
      <c r="C52" s="70">
        <v>-3.5000000000000102</v>
      </c>
      <c r="D52" s="70">
        <v>1</v>
      </c>
      <c r="E52" s="71">
        <f t="shared" si="7"/>
        <v>-6.1250000000000355</v>
      </c>
      <c r="F52" s="72">
        <f t="shared" si="4"/>
        <v>8.7268269504572915E-4</v>
      </c>
      <c r="G52" s="70">
        <f t="shared" si="1"/>
        <v>1.0000000000000231E-2</v>
      </c>
      <c r="H52" s="60">
        <f t="shared" si="5"/>
        <v>8.7268269504574933E-6</v>
      </c>
      <c r="I52" s="60">
        <f t="shared" si="6"/>
        <v>2.0601139374844951E-4</v>
      </c>
      <c r="J52" s="60">
        <f t="shared" si="2"/>
        <v>2.3262907903551577E-4</v>
      </c>
    </row>
    <row r="53" spans="1:10" x14ac:dyDescent="0.3">
      <c r="A53" s="70">
        <f t="shared" si="3"/>
        <v>-3.49000000000001</v>
      </c>
      <c r="B53" s="60">
        <v>0</v>
      </c>
      <c r="C53" s="70">
        <v>-3.49000000000001</v>
      </c>
      <c r="D53" s="70">
        <v>1</v>
      </c>
      <c r="E53" s="71">
        <f t="shared" si="7"/>
        <v>-6.0900500000000353</v>
      </c>
      <c r="F53" s="72">
        <f t="shared" si="4"/>
        <v>9.0372221127749315E-4</v>
      </c>
      <c r="G53" s="70">
        <f t="shared" si="1"/>
        <v>9.9999999999997868E-3</v>
      </c>
      <c r="H53" s="60">
        <f t="shared" si="5"/>
        <v>9.0372221127747381E-6</v>
      </c>
      <c r="I53" s="60">
        <f t="shared" si="6"/>
        <v>2.1504861586122426E-4</v>
      </c>
      <c r="J53" s="60">
        <f t="shared" si="2"/>
        <v>2.4151027356782696E-4</v>
      </c>
    </row>
    <row r="54" spans="1:10" x14ac:dyDescent="0.3">
      <c r="A54" s="70">
        <f t="shared" si="3"/>
        <v>-3.4800000000000102</v>
      </c>
      <c r="B54" s="60">
        <v>0</v>
      </c>
      <c r="C54" s="70">
        <v>-3.4800000000000102</v>
      </c>
      <c r="D54" s="70">
        <v>1</v>
      </c>
      <c r="E54" s="71">
        <f t="shared" si="7"/>
        <v>-6.0552000000000357</v>
      </c>
      <c r="F54" s="72">
        <f t="shared" si="4"/>
        <v>9.3577215692744649E-4</v>
      </c>
      <c r="G54" s="70">
        <f t="shared" si="1"/>
        <v>1.0000000000000231E-2</v>
      </c>
      <c r="H54" s="60">
        <f t="shared" si="5"/>
        <v>9.3577215692746818E-6</v>
      </c>
      <c r="I54" s="60">
        <f t="shared" si="6"/>
        <v>2.2440633743049895E-4</v>
      </c>
      <c r="J54" s="60">
        <f t="shared" si="2"/>
        <v>2.5070689128052774E-4</v>
      </c>
    </row>
    <row r="55" spans="1:10" x14ac:dyDescent="0.3">
      <c r="A55" s="70">
        <f t="shared" si="3"/>
        <v>-3.47000000000001</v>
      </c>
      <c r="B55" s="60">
        <v>0</v>
      </c>
      <c r="C55" s="70">
        <v>-3.47000000000001</v>
      </c>
      <c r="D55" s="70">
        <v>1</v>
      </c>
      <c r="E55" s="71">
        <f t="shared" si="7"/>
        <v>-6.0204500000000349</v>
      </c>
      <c r="F55" s="72">
        <f t="shared" si="4"/>
        <v>9.688618429198123E-4</v>
      </c>
      <c r="G55" s="70">
        <f t="shared" si="1"/>
        <v>9.9999999999997868E-3</v>
      </c>
      <c r="H55" s="60">
        <f t="shared" si="5"/>
        <v>9.6886184291979166E-6</v>
      </c>
      <c r="I55" s="60">
        <f t="shared" si="6"/>
        <v>2.3409495585969688E-4</v>
      </c>
      <c r="J55" s="60">
        <f t="shared" si="2"/>
        <v>2.6022918242745683E-4</v>
      </c>
    </row>
    <row r="56" spans="1:10" x14ac:dyDescent="0.3">
      <c r="A56" s="70">
        <f t="shared" si="3"/>
        <v>-3.4600000000000102</v>
      </c>
      <c r="B56" s="60">
        <v>0</v>
      </c>
      <c r="C56" s="70">
        <v>-3.4600000000000102</v>
      </c>
      <c r="D56" s="70">
        <v>1</v>
      </c>
      <c r="E56" s="71">
        <f t="shared" si="7"/>
        <v>-5.9858000000000349</v>
      </c>
      <c r="F56" s="72">
        <f t="shared" si="4"/>
        <v>1.0030213007342029E-3</v>
      </c>
      <c r="G56" s="70">
        <f t="shared" si="1"/>
        <v>1.0000000000000231E-2</v>
      </c>
      <c r="H56" s="60">
        <f t="shared" si="5"/>
        <v>1.0030213007342261E-5</v>
      </c>
      <c r="I56" s="60">
        <f t="shared" si="6"/>
        <v>2.4412516886703915E-4</v>
      </c>
      <c r="J56" s="60">
        <f t="shared" si="2"/>
        <v>2.7008769396346413E-4</v>
      </c>
    </row>
    <row r="57" spans="1:10" x14ac:dyDescent="0.3">
      <c r="A57" s="70">
        <f t="shared" si="3"/>
        <v>-3.4500000000000099</v>
      </c>
      <c r="B57" s="60">
        <v>0</v>
      </c>
      <c r="C57" s="70">
        <v>-3.4500000000000099</v>
      </c>
      <c r="D57" s="70">
        <v>1</v>
      </c>
      <c r="E57" s="71">
        <f t="shared" si="7"/>
        <v>-5.9512500000000346</v>
      </c>
      <c r="F57" s="72">
        <f t="shared" si="4"/>
        <v>1.0382812956613752E-3</v>
      </c>
      <c r="G57" s="70">
        <f t="shared" si="1"/>
        <v>9.9999999999997868E-3</v>
      </c>
      <c r="H57" s="60">
        <f t="shared" si="5"/>
        <v>1.0382812956613531E-5</v>
      </c>
      <c r="I57" s="60">
        <f t="shared" si="6"/>
        <v>2.5450798182365266E-4</v>
      </c>
      <c r="J57" s="60">
        <f t="shared" si="2"/>
        <v>2.8029327681616676E-4</v>
      </c>
    </row>
    <row r="58" spans="1:10" x14ac:dyDescent="0.3">
      <c r="A58" s="70">
        <f t="shared" si="3"/>
        <v>-3.4400000000000102</v>
      </c>
      <c r="B58" s="60">
        <v>0</v>
      </c>
      <c r="C58" s="70">
        <v>-3.4400000000000102</v>
      </c>
      <c r="D58" s="70">
        <v>1</v>
      </c>
      <c r="E58" s="71">
        <f t="shared" si="7"/>
        <v>-5.9168000000000349</v>
      </c>
      <c r="F58" s="72">
        <f t="shared" si="4"/>
        <v>1.0746733401536977E-3</v>
      </c>
      <c r="G58" s="70">
        <f t="shared" si="1"/>
        <v>1.0000000000000231E-2</v>
      </c>
      <c r="H58" s="60">
        <f t="shared" si="5"/>
        <v>1.0746733401537226E-5</v>
      </c>
      <c r="I58" s="60">
        <f t="shared" si="6"/>
        <v>2.6525471522518987E-4</v>
      </c>
      <c r="J58" s="60">
        <f t="shared" si="2"/>
        <v>2.9085709329073207E-4</v>
      </c>
    </row>
    <row r="59" spans="1:10" x14ac:dyDescent="0.3">
      <c r="A59" s="70">
        <f t="shared" si="3"/>
        <v>-3.4300000000000099</v>
      </c>
      <c r="B59" s="60">
        <v>0</v>
      </c>
      <c r="C59" s="70">
        <v>-3.4300000000000099</v>
      </c>
      <c r="D59" s="70">
        <v>1</v>
      </c>
      <c r="E59" s="71">
        <f t="shared" si="7"/>
        <v>-5.8824500000000342</v>
      </c>
      <c r="F59" s="72">
        <f t="shared" si="4"/>
        <v>1.1122297072655273E-3</v>
      </c>
      <c r="G59" s="70">
        <f t="shared" si="1"/>
        <v>9.9999999999997868E-3</v>
      </c>
      <c r="H59" s="60">
        <f t="shared" si="5"/>
        <v>1.1122297072655036E-5</v>
      </c>
      <c r="I59" s="60">
        <f t="shared" si="6"/>
        <v>2.7637701229784489E-4</v>
      </c>
      <c r="J59" s="60">
        <f t="shared" si="2"/>
        <v>3.0179062460862629E-4</v>
      </c>
    </row>
    <row r="60" spans="1:10" x14ac:dyDescent="0.3">
      <c r="A60" s="70">
        <f t="shared" si="3"/>
        <v>-3.4200000000000101</v>
      </c>
      <c r="B60" s="60">
        <v>0</v>
      </c>
      <c r="C60" s="70">
        <v>-3.4200000000000101</v>
      </c>
      <c r="D60" s="70">
        <v>1</v>
      </c>
      <c r="E60" s="71">
        <f t="shared" si="7"/>
        <v>-5.8482000000000349</v>
      </c>
      <c r="F60" s="72">
        <f t="shared" si="4"/>
        <v>1.1509834441784435E-3</v>
      </c>
      <c r="G60" s="70">
        <f t="shared" si="1"/>
        <v>1.0000000000000231E-2</v>
      </c>
      <c r="H60" s="60">
        <f t="shared" si="5"/>
        <v>1.1509834441784702E-5</v>
      </c>
      <c r="I60" s="60">
        <f t="shared" si="6"/>
        <v>2.8788684673962959E-4</v>
      </c>
      <c r="J60" s="60">
        <f t="shared" si="2"/>
        <v>3.1310567858118825E-4</v>
      </c>
    </row>
    <row r="61" spans="1:10" x14ac:dyDescent="0.3">
      <c r="A61" s="70">
        <f t="shared" si="3"/>
        <v>-3.4100000000000099</v>
      </c>
      <c r="B61" s="60">
        <v>0</v>
      </c>
      <c r="C61" s="70">
        <v>-3.4100000000000099</v>
      </c>
      <c r="D61" s="70">
        <v>1</v>
      </c>
      <c r="E61" s="71">
        <f t="shared" si="7"/>
        <v>-5.8140500000000337</v>
      </c>
      <c r="F61" s="72">
        <f t="shared" si="4"/>
        <v>1.1909683858060776E-3</v>
      </c>
      <c r="G61" s="70">
        <f t="shared" si="1"/>
        <v>9.9999999999997868E-3</v>
      </c>
      <c r="H61" s="60">
        <f t="shared" si="5"/>
        <v>1.1909683858060522E-5</v>
      </c>
      <c r="I61" s="60">
        <f t="shared" si="6"/>
        <v>2.9979653059769009E-4</v>
      </c>
      <c r="J61" s="60">
        <f t="shared" si="2"/>
        <v>3.2481439741886625E-4</v>
      </c>
    </row>
    <row r="62" spans="1:10" x14ac:dyDescent="0.3">
      <c r="A62" s="70">
        <f t="shared" si="3"/>
        <v>-3.4000000000000101</v>
      </c>
      <c r="B62" s="60">
        <v>0</v>
      </c>
      <c r="C62" s="70">
        <v>-3.4000000000000101</v>
      </c>
      <c r="D62" s="70">
        <v>1</v>
      </c>
      <c r="E62" s="71">
        <f t="shared" si="7"/>
        <v>-5.780000000000034</v>
      </c>
      <c r="F62" s="72">
        <f t="shared" si="4"/>
        <v>1.2322191684729772E-3</v>
      </c>
      <c r="G62" s="70">
        <f t="shared" si="1"/>
        <v>1.0000000000000231E-2</v>
      </c>
      <c r="H62" s="60">
        <f t="shared" si="5"/>
        <v>1.2322191684730056E-5</v>
      </c>
      <c r="I62" s="60">
        <f t="shared" si="6"/>
        <v>3.1211872228242013E-4</v>
      </c>
      <c r="J62" s="60">
        <f t="shared" si="2"/>
        <v>3.3692926567686834E-4</v>
      </c>
    </row>
    <row r="63" spans="1:10" x14ac:dyDescent="0.3">
      <c r="A63" s="70">
        <f t="shared" si="3"/>
        <v>-3.3900000000000099</v>
      </c>
      <c r="B63" s="60">
        <v>0</v>
      </c>
      <c r="C63" s="70">
        <v>-3.3900000000000099</v>
      </c>
      <c r="D63" s="70">
        <v>1</v>
      </c>
      <c r="E63" s="71">
        <f t="shared" si="7"/>
        <v>-5.7460500000000332</v>
      </c>
      <c r="F63" s="72">
        <f t="shared" si="4"/>
        <v>1.2747712436617907E-3</v>
      </c>
      <c r="G63" s="70">
        <f t="shared" si="1"/>
        <v>9.9999999999997868E-3</v>
      </c>
      <c r="H63" s="60">
        <f t="shared" si="5"/>
        <v>1.2747712436617635E-5</v>
      </c>
      <c r="I63" s="60">
        <f t="shared" si="6"/>
        <v>3.2486643471903778E-4</v>
      </c>
      <c r="J63" s="60">
        <f t="shared" si="2"/>
        <v>3.4946311833795884E-4</v>
      </c>
    </row>
    <row r="64" spans="1:10" x14ac:dyDescent="0.3">
      <c r="A64" s="70">
        <f t="shared" si="3"/>
        <v>-3.3800000000000101</v>
      </c>
      <c r="B64" s="60">
        <v>0</v>
      </c>
      <c r="C64" s="70">
        <v>-3.3800000000000101</v>
      </c>
      <c r="D64" s="70">
        <v>1</v>
      </c>
      <c r="E64" s="71">
        <f t="shared" si="7"/>
        <v>-5.7122000000000339</v>
      </c>
      <c r="F64" s="72">
        <f t="shared" si="4"/>
        <v>1.3186608918226966E-3</v>
      </c>
      <c r="G64" s="70">
        <f t="shared" si="1"/>
        <v>1.0000000000000231E-2</v>
      </c>
      <c r="H64" s="60">
        <f t="shared" si="5"/>
        <v>1.318660891822727E-5</v>
      </c>
      <c r="I64" s="60">
        <f t="shared" si="6"/>
        <v>3.3805304363726502E-4</v>
      </c>
      <c r="J64" s="60">
        <f t="shared" si="2"/>
        <v>3.6242914903303054E-4</v>
      </c>
    </row>
    <row r="65" spans="1:10" x14ac:dyDescent="0.3">
      <c r="A65" s="70">
        <f t="shared" si="3"/>
        <v>-3.3700000000000099</v>
      </c>
      <c r="B65" s="60">
        <v>0</v>
      </c>
      <c r="C65" s="70">
        <v>-3.3700000000000099</v>
      </c>
      <c r="D65" s="70">
        <v>1</v>
      </c>
      <c r="E65" s="71">
        <f t="shared" si="7"/>
        <v>-5.6784500000000335</v>
      </c>
      <c r="F65" s="72">
        <f t="shared" si="4"/>
        <v>1.3639252362388588E-3</v>
      </c>
      <c r="G65" s="70">
        <f t="shared" si="1"/>
        <v>9.9999999999997868E-3</v>
      </c>
      <c r="H65" s="60">
        <f t="shared" si="5"/>
        <v>1.3639252362388297E-5</v>
      </c>
      <c r="I65" s="60">
        <f t="shared" si="6"/>
        <v>3.516922959996533E-4</v>
      </c>
      <c r="J65" s="60">
        <f t="shared" si="2"/>
        <v>3.7584091840007025E-4</v>
      </c>
    </row>
    <row r="66" spans="1:10" x14ac:dyDescent="0.3">
      <c r="A66" s="70">
        <f t="shared" si="3"/>
        <v>-3.3600000000000101</v>
      </c>
      <c r="B66" s="60">
        <v>0</v>
      </c>
      <c r="C66" s="70">
        <v>-3.3600000000000101</v>
      </c>
      <c r="D66" s="70">
        <v>1</v>
      </c>
      <c r="E66" s="71">
        <f t="shared" si="7"/>
        <v>-5.6448000000000338</v>
      </c>
      <c r="F66" s="72">
        <f t="shared" si="4"/>
        <v>1.410602256941336E-3</v>
      </c>
      <c r="G66" s="70">
        <f t="shared" ref="G66:G129" si="8">C67-C66</f>
        <v>1.0000000000000231E-2</v>
      </c>
      <c r="H66" s="60">
        <f t="shared" si="5"/>
        <v>1.4106022569413686E-5</v>
      </c>
      <c r="I66" s="60">
        <f t="shared" si="6"/>
        <v>3.6579831856906698E-4</v>
      </c>
      <c r="J66" s="60">
        <f t="shared" ref="J66:J129" si="9">NORMSDIST(C66)</f>
        <v>3.8971236258201748E-4</v>
      </c>
    </row>
    <row r="67" spans="1:10" x14ac:dyDescent="0.3">
      <c r="A67" s="70">
        <f t="shared" ref="A67:A130" si="10">B67+C67</f>
        <v>-3.3500000000000099</v>
      </c>
      <c r="B67" s="60">
        <v>0</v>
      </c>
      <c r="C67" s="70">
        <v>-3.3500000000000099</v>
      </c>
      <c r="D67" s="70">
        <v>1</v>
      </c>
      <c r="E67" s="71">
        <f t="shared" ref="E67:E130" si="11">-(A67-B67)*(A67-B67)/2</f>
        <v>-5.6112500000000329</v>
      </c>
      <c r="F67" s="72">
        <f t="shared" ref="F67:F130" si="12">(1/SQRT(2*PI()))*(EXP(E67))</f>
        <v>1.458730804666698E-3</v>
      </c>
      <c r="G67" s="70">
        <f t="shared" si="8"/>
        <v>9.9999999999997868E-3</v>
      </c>
      <c r="H67" s="60">
        <f t="shared" ref="H67:H127" si="13">F67*G67</f>
        <v>1.4587308046666669E-5</v>
      </c>
      <c r="I67" s="60">
        <f t="shared" si="6"/>
        <v>3.8038562661573365E-4</v>
      </c>
      <c r="J67" s="60">
        <f t="shared" si="9"/>
        <v>4.0405780186400611E-4</v>
      </c>
    </row>
    <row r="68" spans="1:10" x14ac:dyDescent="0.3">
      <c r="A68" s="70">
        <f t="shared" si="10"/>
        <v>-3.3400000000000101</v>
      </c>
      <c r="B68" s="60">
        <v>0</v>
      </c>
      <c r="C68" s="70">
        <v>-3.3400000000000101</v>
      </c>
      <c r="D68" s="70">
        <v>1</v>
      </c>
      <c r="E68" s="71">
        <f t="shared" si="11"/>
        <v>-5.5778000000000336</v>
      </c>
      <c r="F68" s="72">
        <f t="shared" si="12"/>
        <v>1.5083506148502565E-3</v>
      </c>
      <c r="G68" s="70">
        <f t="shared" si="8"/>
        <v>1.0000000000000231E-2</v>
      </c>
      <c r="H68" s="60">
        <f t="shared" si="13"/>
        <v>1.5083506148502914E-5</v>
      </c>
      <c r="I68" s="60">
        <f t="shared" si="6"/>
        <v>3.9546913276423658E-4</v>
      </c>
      <c r="J68" s="60">
        <f t="shared" si="9"/>
        <v>4.188919494503545E-4</v>
      </c>
    </row>
    <row r="69" spans="1:10" x14ac:dyDescent="0.3">
      <c r="A69" s="70">
        <f t="shared" si="10"/>
        <v>-3.3300000000000098</v>
      </c>
      <c r="B69" s="60">
        <v>0</v>
      </c>
      <c r="C69" s="70">
        <v>-3.3300000000000098</v>
      </c>
      <c r="D69" s="70">
        <v>1</v>
      </c>
      <c r="E69" s="71">
        <f t="shared" si="11"/>
        <v>-5.5444500000000332</v>
      </c>
      <c r="F69" s="72">
        <f t="shared" si="12"/>
        <v>1.5595023216476403E-3</v>
      </c>
      <c r="G69" s="70">
        <f t="shared" si="8"/>
        <v>9.9999999999997868E-3</v>
      </c>
      <c r="H69" s="60">
        <f t="shared" si="13"/>
        <v>1.559502321647607E-5</v>
      </c>
      <c r="I69" s="60">
        <f t="shared" ref="I69:I132" si="14">H69+I68</f>
        <v>4.1106415598071266E-4</v>
      </c>
      <c r="J69" s="60">
        <f t="shared" si="9"/>
        <v>4.3422992038163956E-4</v>
      </c>
    </row>
    <row r="70" spans="1:10" x14ac:dyDescent="0.3">
      <c r="A70" s="70">
        <f t="shared" si="10"/>
        <v>-3.3200000000000101</v>
      </c>
      <c r="B70" s="60">
        <v>0</v>
      </c>
      <c r="C70" s="70">
        <v>-3.3200000000000101</v>
      </c>
      <c r="D70" s="70">
        <v>1</v>
      </c>
      <c r="E70" s="71">
        <f t="shared" si="11"/>
        <v>-5.5112000000000334</v>
      </c>
      <c r="F70" s="72">
        <f t="shared" si="12"/>
        <v>1.61222747197707E-3</v>
      </c>
      <c r="G70" s="70">
        <f t="shared" si="8"/>
        <v>9.9999999999900169E-3</v>
      </c>
      <c r="H70" s="60">
        <f t="shared" si="13"/>
        <v>1.6122274719754604E-5</v>
      </c>
      <c r="I70" s="60">
        <f t="shared" si="14"/>
        <v>4.2718643070046729E-4</v>
      </c>
      <c r="J70" s="60">
        <f t="shared" si="9"/>
        <v>4.5008724059210044E-4</v>
      </c>
    </row>
    <row r="71" spans="1:10" x14ac:dyDescent="0.3">
      <c r="A71" s="70">
        <f t="shared" si="10"/>
        <v>-3.31000000000002</v>
      </c>
      <c r="B71" s="60">
        <v>0</v>
      </c>
      <c r="C71" s="70">
        <v>-3.31000000000002</v>
      </c>
      <c r="D71" s="70">
        <v>1</v>
      </c>
      <c r="E71" s="71">
        <f t="shared" si="11"/>
        <v>-5.4780500000000663</v>
      </c>
      <c r="F71" s="72">
        <f t="shared" si="12"/>
        <v>1.6665685395744704E-3</v>
      </c>
      <c r="G71" s="70">
        <f t="shared" si="8"/>
        <v>1.0000000000010001E-2</v>
      </c>
      <c r="H71" s="60">
        <f t="shared" si="13"/>
        <v>1.666568539576137E-5</v>
      </c>
      <c r="I71" s="60">
        <f t="shared" si="14"/>
        <v>4.4385211609622866E-4</v>
      </c>
      <c r="J71" s="60">
        <f t="shared" si="9"/>
        <v>4.6647985610751577E-4</v>
      </c>
    </row>
    <row r="72" spans="1:10" x14ac:dyDescent="0.3">
      <c r="A72" s="70">
        <f t="shared" si="10"/>
        <v>-3.30000000000001</v>
      </c>
      <c r="B72" s="60">
        <v>0</v>
      </c>
      <c r="C72" s="70">
        <v>-3.30000000000001</v>
      </c>
      <c r="D72" s="70">
        <v>1</v>
      </c>
      <c r="E72" s="71">
        <f t="shared" si="11"/>
        <v>-5.4450000000000331</v>
      </c>
      <c r="F72" s="72">
        <f t="shared" si="12"/>
        <v>1.7225689390536229E-3</v>
      </c>
      <c r="G72" s="70">
        <f t="shared" si="8"/>
        <v>9.9999999999900169E-3</v>
      </c>
      <c r="H72" s="60">
        <f t="shared" si="13"/>
        <v>1.7225689390519031E-5</v>
      </c>
      <c r="I72" s="60">
        <f t="shared" si="14"/>
        <v>4.6107780548674767E-4</v>
      </c>
      <c r="J72" s="60">
        <f t="shared" si="9"/>
        <v>4.834241423837595E-4</v>
      </c>
    </row>
    <row r="73" spans="1:10" x14ac:dyDescent="0.3">
      <c r="A73" s="70">
        <f t="shared" si="10"/>
        <v>-3.29000000000002</v>
      </c>
      <c r="B73" s="60">
        <v>0</v>
      </c>
      <c r="C73" s="70">
        <v>-3.29000000000002</v>
      </c>
      <c r="D73" s="70">
        <v>1</v>
      </c>
      <c r="E73" s="71">
        <f t="shared" si="11"/>
        <v>-5.4120500000000655</v>
      </c>
      <c r="F73" s="72">
        <f t="shared" si="12"/>
        <v>1.7802730399617613E-3</v>
      </c>
      <c r="G73" s="70">
        <f t="shared" si="8"/>
        <v>1.0000000000010001E-2</v>
      </c>
      <c r="H73" s="60">
        <f t="shared" si="13"/>
        <v>1.7802730399635417E-5</v>
      </c>
      <c r="I73" s="60">
        <f t="shared" si="14"/>
        <v>4.7888053588638312E-4</v>
      </c>
      <c r="J73" s="60">
        <f t="shared" si="9"/>
        <v>5.0093691378568623E-4</v>
      </c>
    </row>
    <row r="74" spans="1:10" x14ac:dyDescent="0.3">
      <c r="A74" s="70">
        <f t="shared" si="10"/>
        <v>-3.28000000000001</v>
      </c>
      <c r="B74" s="60">
        <v>0</v>
      </c>
      <c r="C74" s="70">
        <v>-3.28000000000001</v>
      </c>
      <c r="D74" s="70">
        <v>1</v>
      </c>
      <c r="E74" s="71">
        <f t="shared" si="11"/>
        <v>-5.3792000000000328</v>
      </c>
      <c r="F74" s="72">
        <f t="shared" si="12"/>
        <v>1.8397261808242187E-3</v>
      </c>
      <c r="G74" s="70">
        <f t="shared" si="8"/>
        <v>9.9999999999900169E-3</v>
      </c>
      <c r="H74" s="60">
        <f t="shared" si="13"/>
        <v>1.839726180822382E-5</v>
      </c>
      <c r="I74" s="60">
        <f t="shared" si="14"/>
        <v>4.9727779769460695E-4</v>
      </c>
      <c r="J74" s="60">
        <f t="shared" si="9"/>
        <v>5.1903543320695397E-4</v>
      </c>
    </row>
    <row r="75" spans="1:10" x14ac:dyDescent="0.3">
      <c r="A75" s="70">
        <f t="shared" si="10"/>
        <v>-3.27000000000002</v>
      </c>
      <c r="B75" s="60">
        <v>0</v>
      </c>
      <c r="C75" s="70">
        <v>-3.27000000000002</v>
      </c>
      <c r="D75" s="70">
        <v>1</v>
      </c>
      <c r="E75" s="71">
        <f t="shared" si="11"/>
        <v>-5.3464500000000656</v>
      </c>
      <c r="F75" s="72">
        <f t="shared" si="12"/>
        <v>1.9009746831659554E-3</v>
      </c>
      <c r="G75" s="70">
        <f t="shared" si="8"/>
        <v>9.9999999999997868E-3</v>
      </c>
      <c r="H75" s="60">
        <f t="shared" si="13"/>
        <v>1.9009746831659148E-5</v>
      </c>
      <c r="I75" s="60">
        <f t="shared" si="14"/>
        <v>5.1628754452626613E-4</v>
      </c>
      <c r="J75" s="60">
        <f t="shared" si="9"/>
        <v>5.3773742182965697E-4</v>
      </c>
    </row>
    <row r="76" spans="1:10" x14ac:dyDescent="0.3">
      <c r="A76" s="70">
        <f t="shared" si="10"/>
        <v>-3.2600000000000202</v>
      </c>
      <c r="B76" s="60">
        <v>0</v>
      </c>
      <c r="C76" s="70">
        <v>-3.2600000000000202</v>
      </c>
      <c r="D76" s="70">
        <v>1</v>
      </c>
      <c r="E76" s="71">
        <f t="shared" si="11"/>
        <v>-5.3138000000000662</v>
      </c>
      <c r="F76" s="72">
        <f t="shared" si="12"/>
        <v>1.9640658655042447E-3</v>
      </c>
      <c r="G76" s="70">
        <f t="shared" si="8"/>
        <v>1.0000000000000231E-2</v>
      </c>
      <c r="H76" s="60">
        <f t="shared" si="13"/>
        <v>1.9640658655042903E-5</v>
      </c>
      <c r="I76" s="60">
        <f t="shared" si="14"/>
        <v>5.3592820318130899E-4</v>
      </c>
      <c r="J76" s="60">
        <f t="shared" si="9"/>
        <v>5.5706106902458181E-4</v>
      </c>
    </row>
    <row r="77" spans="1:10" x14ac:dyDescent="0.3">
      <c r="A77" s="70">
        <f t="shared" si="10"/>
        <v>-3.25000000000002</v>
      </c>
      <c r="B77" s="60">
        <v>0</v>
      </c>
      <c r="C77" s="70">
        <v>-3.25000000000002</v>
      </c>
      <c r="D77" s="70">
        <v>1</v>
      </c>
      <c r="E77" s="71">
        <f t="shared" si="11"/>
        <v>-5.2812500000000648</v>
      </c>
      <c r="F77" s="72">
        <f t="shared" si="12"/>
        <v>2.0290480572996363E-3</v>
      </c>
      <c r="G77" s="70">
        <f t="shared" si="8"/>
        <v>9.9999999999997868E-3</v>
      </c>
      <c r="H77" s="60">
        <f t="shared" si="13"/>
        <v>2.0290480572995929E-5</v>
      </c>
      <c r="I77" s="60">
        <f t="shared" si="14"/>
        <v>5.5621868375430495E-4</v>
      </c>
      <c r="J77" s="60">
        <f t="shared" si="9"/>
        <v>5.7702504239072645E-4</v>
      </c>
    </row>
    <row r="78" spans="1:10" x14ac:dyDescent="0.3">
      <c r="A78" s="70">
        <f t="shared" si="10"/>
        <v>-3.2400000000000202</v>
      </c>
      <c r="B78" s="60">
        <v>0</v>
      </c>
      <c r="C78" s="70">
        <v>-3.2400000000000202</v>
      </c>
      <c r="D78" s="70">
        <v>1</v>
      </c>
      <c r="E78" s="71">
        <f t="shared" si="11"/>
        <v>-5.2488000000000659</v>
      </c>
      <c r="F78" s="72">
        <f t="shared" si="12"/>
        <v>2.0959706128578057E-3</v>
      </c>
      <c r="G78" s="70">
        <f t="shared" si="8"/>
        <v>1.0000000000000231E-2</v>
      </c>
      <c r="H78" s="60">
        <f t="shared" si="13"/>
        <v>2.0959706128578539E-5</v>
      </c>
      <c r="I78" s="60">
        <f t="shared" si="14"/>
        <v>5.7717838988288349E-4</v>
      </c>
      <c r="J78" s="60">
        <f t="shared" si="9"/>
        <v>5.9764849793437309E-4</v>
      </c>
    </row>
    <row r="79" spans="1:10" x14ac:dyDescent="0.3">
      <c r="A79" s="70">
        <f t="shared" si="10"/>
        <v>-3.23000000000002</v>
      </c>
      <c r="B79" s="60">
        <v>0</v>
      </c>
      <c r="C79" s="70">
        <v>-3.23000000000002</v>
      </c>
      <c r="D79" s="70">
        <v>1</v>
      </c>
      <c r="E79" s="71">
        <f t="shared" si="11"/>
        <v>-5.2164500000000649</v>
      </c>
      <c r="F79" s="72">
        <f t="shared" si="12"/>
        <v>2.1648839251709219E-3</v>
      </c>
      <c r="G79" s="70">
        <f t="shared" si="8"/>
        <v>9.9999999999997868E-3</v>
      </c>
      <c r="H79" s="60">
        <f t="shared" si="13"/>
        <v>2.1648839251708758E-5</v>
      </c>
      <c r="I79" s="60">
        <f t="shared" si="14"/>
        <v>5.9882722913459229E-4</v>
      </c>
      <c r="J79" s="60">
        <f t="shared" si="9"/>
        <v>6.189510903867922E-4</v>
      </c>
    </row>
    <row r="80" spans="1:10" x14ac:dyDescent="0.3">
      <c r="A80" s="70">
        <f t="shared" si="10"/>
        <v>-3.2200000000000202</v>
      </c>
      <c r="B80" s="60">
        <v>0</v>
      </c>
      <c r="C80" s="70">
        <v>-3.2200000000000202</v>
      </c>
      <c r="D80" s="70">
        <v>1</v>
      </c>
      <c r="E80" s="71">
        <f t="shared" si="11"/>
        <v>-5.1842000000000645</v>
      </c>
      <c r="F80" s="72">
        <f t="shared" si="12"/>
        <v>2.2358394396883954E-3</v>
      </c>
      <c r="G80" s="70">
        <f t="shared" si="8"/>
        <v>1.0000000000000231E-2</v>
      </c>
      <c r="H80" s="60">
        <f t="shared" si="13"/>
        <v>2.235839439688447E-5</v>
      </c>
      <c r="I80" s="60">
        <f t="shared" si="14"/>
        <v>6.2118562353147679E-4</v>
      </c>
      <c r="J80" s="60">
        <f t="shared" si="9"/>
        <v>6.4095298366001138E-4</v>
      </c>
    </row>
    <row r="81" spans="1:10" x14ac:dyDescent="0.3">
      <c r="A81" s="70">
        <f t="shared" si="10"/>
        <v>-3.2100000000000199</v>
      </c>
      <c r="B81" s="60">
        <v>0</v>
      </c>
      <c r="C81" s="70">
        <v>-3.2100000000000199</v>
      </c>
      <c r="D81" s="70">
        <v>1</v>
      </c>
      <c r="E81" s="71">
        <f t="shared" si="11"/>
        <v>-5.152050000000064</v>
      </c>
      <c r="F81" s="72">
        <f t="shared" si="12"/>
        <v>2.3088896680063479E-3</v>
      </c>
      <c r="G81" s="70">
        <f t="shared" si="8"/>
        <v>9.9999999999997868E-3</v>
      </c>
      <c r="H81" s="60">
        <f t="shared" si="13"/>
        <v>2.3088896680062988E-5</v>
      </c>
      <c r="I81" s="60">
        <f t="shared" si="14"/>
        <v>6.4427452021153977E-4</v>
      </c>
      <c r="J81" s="60">
        <f t="shared" si="9"/>
        <v>6.6367486143992032E-4</v>
      </c>
    </row>
    <row r="82" spans="1:10" x14ac:dyDescent="0.3">
      <c r="A82" s="70">
        <f t="shared" si="10"/>
        <v>-3.2000000000000202</v>
      </c>
      <c r="B82" s="60">
        <v>0</v>
      </c>
      <c r="C82" s="70">
        <v>-3.2000000000000202</v>
      </c>
      <c r="D82" s="70">
        <v>1</v>
      </c>
      <c r="E82" s="71">
        <f t="shared" si="11"/>
        <v>-5.1200000000000649</v>
      </c>
      <c r="F82" s="72">
        <f t="shared" si="12"/>
        <v>2.3840882014646877E-3</v>
      </c>
      <c r="G82" s="70">
        <f t="shared" si="8"/>
        <v>1.0000000000000231E-2</v>
      </c>
      <c r="H82" s="60">
        <f t="shared" si="13"/>
        <v>2.3840882014647427E-5</v>
      </c>
      <c r="I82" s="60">
        <f t="shared" si="14"/>
        <v>6.6811540222618719E-4</v>
      </c>
      <c r="J82" s="60">
        <f t="shared" si="9"/>
        <v>6.8713793791579927E-4</v>
      </c>
    </row>
    <row r="83" spans="1:10" x14ac:dyDescent="0.3">
      <c r="A83" s="70">
        <f t="shared" si="10"/>
        <v>-3.1900000000000199</v>
      </c>
      <c r="B83" s="60">
        <v>0</v>
      </c>
      <c r="C83" s="70">
        <v>-3.1900000000000199</v>
      </c>
      <c r="D83" s="70">
        <v>1</v>
      </c>
      <c r="E83" s="71">
        <f t="shared" si="11"/>
        <v>-5.0880500000000639</v>
      </c>
      <c r="F83" s="72">
        <f t="shared" si="12"/>
        <v>2.4614897246405432E-3</v>
      </c>
      <c r="G83" s="70">
        <f t="shared" si="8"/>
        <v>9.9999999999997868E-3</v>
      </c>
      <c r="H83" s="60">
        <f t="shared" si="13"/>
        <v>2.4614897246404905E-5</v>
      </c>
      <c r="I83" s="60">
        <f t="shared" si="14"/>
        <v>6.9273029947259214E-4</v>
      </c>
      <c r="J83" s="60">
        <f t="shared" si="9"/>
        <v>7.1136396864531393E-4</v>
      </c>
    </row>
    <row r="84" spans="1:10" x14ac:dyDescent="0.3">
      <c r="A84" s="70">
        <f t="shared" si="10"/>
        <v>-3.1800000000000201</v>
      </c>
      <c r="B84" s="60">
        <v>0</v>
      </c>
      <c r="C84" s="70">
        <v>-3.1800000000000201</v>
      </c>
      <c r="D84" s="70">
        <v>1</v>
      </c>
      <c r="E84" s="71">
        <f t="shared" si="11"/>
        <v>-5.0562000000000644</v>
      </c>
      <c r="F84" s="72">
        <f t="shared" si="12"/>
        <v>2.5411500287263588E-3</v>
      </c>
      <c r="G84" s="70">
        <f t="shared" si="8"/>
        <v>1.0000000000000231E-2</v>
      </c>
      <c r="H84" s="60">
        <f t="shared" si="13"/>
        <v>2.5411500287264176E-5</v>
      </c>
      <c r="I84" s="60">
        <f t="shared" si="14"/>
        <v>7.1814179975985626E-4</v>
      </c>
      <c r="J84" s="60">
        <f t="shared" si="9"/>
        <v>7.3637526155387832E-4</v>
      </c>
    </row>
    <row r="85" spans="1:10" x14ac:dyDescent="0.3">
      <c r="A85" s="70">
        <f t="shared" si="10"/>
        <v>-3.1700000000000199</v>
      </c>
      <c r="B85" s="60">
        <v>0</v>
      </c>
      <c r="C85" s="70">
        <v>-3.1700000000000199</v>
      </c>
      <c r="D85" s="70">
        <v>1</v>
      </c>
      <c r="E85" s="71">
        <f t="shared" si="11"/>
        <v>-5.0244500000000629</v>
      </c>
      <c r="F85" s="72">
        <f t="shared" si="12"/>
        <v>2.6231260247808592E-3</v>
      </c>
      <c r="G85" s="70">
        <f t="shared" si="8"/>
        <v>9.9999999999997868E-3</v>
      </c>
      <c r="H85" s="60">
        <f t="shared" si="13"/>
        <v>2.6231260247808032E-5</v>
      </c>
      <c r="I85" s="60">
        <f t="shared" si="14"/>
        <v>7.4437306000766431E-4</v>
      </c>
      <c r="J85" s="60">
        <f t="shared" si="9"/>
        <v>7.6219468806718233E-4</v>
      </c>
    </row>
    <row r="86" spans="1:10" x14ac:dyDescent="0.3">
      <c r="A86" s="70">
        <f t="shared" si="10"/>
        <v>-3.1600000000000201</v>
      </c>
      <c r="B86" s="60">
        <v>0</v>
      </c>
      <c r="C86" s="70">
        <v>-3.1600000000000201</v>
      </c>
      <c r="D86" s="70">
        <v>1</v>
      </c>
      <c r="E86" s="71">
        <f t="shared" si="11"/>
        <v>-4.9928000000000639</v>
      </c>
      <c r="F86" s="72">
        <f t="shared" si="12"/>
        <v>2.707475756840529E-3</v>
      </c>
      <c r="G86" s="70">
        <f t="shared" si="8"/>
        <v>1.0000000000000231E-2</v>
      </c>
      <c r="H86" s="60">
        <f t="shared" si="13"/>
        <v>2.7074757568405914E-5</v>
      </c>
      <c r="I86" s="60">
        <f t="shared" si="14"/>
        <v>7.7144781757607019E-4</v>
      </c>
      <c r="J86" s="60">
        <f t="shared" si="9"/>
        <v>7.8884569437551795E-4</v>
      </c>
    </row>
    <row r="87" spans="1:10" x14ac:dyDescent="0.3">
      <c r="A87" s="70">
        <f t="shared" si="10"/>
        <v>-3.1500000000000199</v>
      </c>
      <c r="B87" s="60">
        <v>0</v>
      </c>
      <c r="C87" s="70">
        <v>-3.1500000000000199</v>
      </c>
      <c r="D87" s="70">
        <v>1</v>
      </c>
      <c r="E87" s="71">
        <f t="shared" si="11"/>
        <v>-4.9612500000000628</v>
      </c>
      <c r="F87" s="72">
        <f t="shared" si="12"/>
        <v>2.7942584148792707E-3</v>
      </c>
      <c r="G87" s="70">
        <f t="shared" si="8"/>
        <v>9.9999999999997868E-3</v>
      </c>
      <c r="H87" s="60">
        <f t="shared" si="13"/>
        <v>2.794258414879211E-5</v>
      </c>
      <c r="I87" s="60">
        <f t="shared" si="14"/>
        <v>7.9939040172486233E-4</v>
      </c>
      <c r="J87" s="60">
        <f t="shared" si="9"/>
        <v>8.1635231282850594E-4</v>
      </c>
    </row>
    <row r="88" spans="1:10" x14ac:dyDescent="0.3">
      <c r="A88" s="70">
        <f t="shared" si="10"/>
        <v>-3.1400000000000201</v>
      </c>
      <c r="B88" s="60">
        <v>0</v>
      </c>
      <c r="C88" s="70">
        <v>-3.1400000000000201</v>
      </c>
      <c r="D88" s="70">
        <v>1</v>
      </c>
      <c r="E88" s="71">
        <f t="shared" si="11"/>
        <v>-4.9298000000000632</v>
      </c>
      <c r="F88" s="72">
        <f t="shared" si="12"/>
        <v>2.8835343476032575E-3</v>
      </c>
      <c r="G88" s="70">
        <f t="shared" si="8"/>
        <v>1.0000000000000231E-2</v>
      </c>
      <c r="H88" s="60">
        <f t="shared" si="13"/>
        <v>2.8835343476033241E-5</v>
      </c>
      <c r="I88" s="60">
        <f t="shared" si="14"/>
        <v>8.282257452008956E-4</v>
      </c>
      <c r="J88" s="60">
        <f t="shared" si="9"/>
        <v>8.4473917345856842E-4</v>
      </c>
    </row>
    <row r="89" spans="1:10" x14ac:dyDescent="0.3">
      <c r="A89" s="70">
        <f t="shared" si="10"/>
        <v>-3.1300000000000199</v>
      </c>
      <c r="B89" s="60">
        <v>0</v>
      </c>
      <c r="C89" s="70">
        <v>-3.1300000000000199</v>
      </c>
      <c r="D89" s="70">
        <v>1</v>
      </c>
      <c r="E89" s="71">
        <f t="shared" si="11"/>
        <v>-4.8984500000000626</v>
      </c>
      <c r="F89" s="72">
        <f t="shared" si="12"/>
        <v>2.9753650750680657E-3</v>
      </c>
      <c r="G89" s="70">
        <f t="shared" si="8"/>
        <v>9.9999999999997868E-3</v>
      </c>
      <c r="H89" s="60">
        <f t="shared" si="13"/>
        <v>2.9753650750680021E-5</v>
      </c>
      <c r="I89" s="60">
        <f t="shared" si="14"/>
        <v>8.579793959515756E-4</v>
      </c>
      <c r="J89" s="60">
        <f t="shared" si="9"/>
        <v>8.7403151563150748E-4</v>
      </c>
    </row>
    <row r="90" spans="1:10" x14ac:dyDescent="0.3">
      <c r="A90" s="70">
        <f t="shared" si="10"/>
        <v>-3.1200000000000201</v>
      </c>
      <c r="B90" s="60">
        <v>0</v>
      </c>
      <c r="C90" s="70">
        <v>-3.1200000000000201</v>
      </c>
      <c r="D90" s="70">
        <v>1</v>
      </c>
      <c r="E90" s="71">
        <f t="shared" si="11"/>
        <v>-4.8672000000000626</v>
      </c>
      <c r="F90" s="72">
        <f t="shared" si="12"/>
        <v>3.0698133011045495E-3</v>
      </c>
      <c r="G90" s="70">
        <f t="shared" si="8"/>
        <v>1.0000000000000231E-2</v>
      </c>
      <c r="H90" s="60">
        <f t="shared" si="13"/>
        <v>3.0698133011046204E-5</v>
      </c>
      <c r="I90" s="60">
        <f t="shared" si="14"/>
        <v>8.8867752896262179E-4</v>
      </c>
      <c r="J90" s="60">
        <f t="shared" si="9"/>
        <v>9.0425519982227751E-4</v>
      </c>
    </row>
    <row r="91" spans="1:10" x14ac:dyDescent="0.3">
      <c r="A91" s="70">
        <f t="shared" si="10"/>
        <v>-3.1100000000000199</v>
      </c>
      <c r="B91" s="60">
        <v>0</v>
      </c>
      <c r="C91" s="70">
        <v>-3.1100000000000199</v>
      </c>
      <c r="D91" s="70">
        <v>1</v>
      </c>
      <c r="E91" s="71">
        <f t="shared" si="11"/>
        <v>-4.8360500000000615</v>
      </c>
      <c r="F91" s="72">
        <f t="shared" si="12"/>
        <v>3.1669429255398842E-3</v>
      </c>
      <c r="G91" s="70">
        <f t="shared" si="8"/>
        <v>9.9999999999997868E-3</v>
      </c>
      <c r="H91" s="60">
        <f t="shared" si="13"/>
        <v>3.1669429255398165E-5</v>
      </c>
      <c r="I91" s="60">
        <f t="shared" si="14"/>
        <v>9.2034695821801996E-4</v>
      </c>
      <c r="J91" s="60">
        <f t="shared" si="9"/>
        <v>9.3543671951403602E-4</v>
      </c>
    </row>
    <row r="92" spans="1:10" x14ac:dyDescent="0.3">
      <c r="A92" s="70">
        <f t="shared" si="10"/>
        <v>-3.1000000000000201</v>
      </c>
      <c r="B92" s="60">
        <v>0</v>
      </c>
      <c r="C92" s="70">
        <v>-3.1000000000000201</v>
      </c>
      <c r="D92" s="70">
        <v>1</v>
      </c>
      <c r="E92" s="71">
        <f t="shared" si="11"/>
        <v>-4.8050000000000619</v>
      </c>
      <c r="F92" s="72">
        <f t="shared" si="12"/>
        <v>3.2668190561997183E-3</v>
      </c>
      <c r="G92" s="70">
        <f t="shared" si="8"/>
        <v>1.0000000000000231E-2</v>
      </c>
      <c r="H92" s="60">
        <f t="shared" si="13"/>
        <v>3.2668190561997937E-5</v>
      </c>
      <c r="I92" s="60">
        <f t="shared" si="14"/>
        <v>9.5301514878001791E-4</v>
      </c>
      <c r="J92" s="60">
        <f t="shared" si="9"/>
        <v>9.6760321321829072E-4</v>
      </c>
    </row>
    <row r="93" spans="1:10" x14ac:dyDescent="0.3">
      <c r="A93" s="70">
        <f t="shared" si="10"/>
        <v>-3.0900000000000198</v>
      </c>
      <c r="B93" s="60">
        <v>0</v>
      </c>
      <c r="C93" s="70">
        <v>-3.0900000000000198</v>
      </c>
      <c r="D93" s="70">
        <v>1</v>
      </c>
      <c r="E93" s="71">
        <f t="shared" si="11"/>
        <v>-4.7740500000000612</v>
      </c>
      <c r="F93" s="72">
        <f t="shared" si="12"/>
        <v>3.3695080206772744E-3</v>
      </c>
      <c r="G93" s="70">
        <f t="shared" si="8"/>
        <v>9.9999999999997868E-3</v>
      </c>
      <c r="H93" s="60">
        <f t="shared" si="13"/>
        <v>3.3695080206772026E-5</v>
      </c>
      <c r="I93" s="60">
        <f t="shared" si="14"/>
        <v>9.8671022898678983E-4</v>
      </c>
      <c r="J93" s="60">
        <f t="shared" si="9"/>
        <v>1.0007824766139436E-3</v>
      </c>
    </row>
    <row r="94" spans="1:10" x14ac:dyDescent="0.3">
      <c r="A94" s="70">
        <f t="shared" si="10"/>
        <v>-3.0800000000000201</v>
      </c>
      <c r="B94" s="60">
        <v>0</v>
      </c>
      <c r="C94" s="70">
        <v>-3.0800000000000201</v>
      </c>
      <c r="D94" s="70">
        <v>1</v>
      </c>
      <c r="E94" s="71">
        <f t="shared" si="11"/>
        <v>-4.743200000000062</v>
      </c>
      <c r="F94" s="72">
        <f t="shared" si="12"/>
        <v>3.4750773778547215E-3</v>
      </c>
      <c r="G94" s="70">
        <f t="shared" si="8"/>
        <v>1.0000000000000231E-2</v>
      </c>
      <c r="H94" s="60">
        <f t="shared" si="13"/>
        <v>3.4750773778548015E-5</v>
      </c>
      <c r="I94" s="60">
        <f t="shared" si="14"/>
        <v>1.0214610027653379E-3</v>
      </c>
      <c r="J94" s="60">
        <f t="shared" si="9"/>
        <v>1.0350029748027716E-3</v>
      </c>
    </row>
    <row r="95" spans="1:10" x14ac:dyDescent="0.3">
      <c r="A95" s="70">
        <f t="shared" si="10"/>
        <v>-3.0700000000000198</v>
      </c>
      <c r="B95" s="60">
        <v>0</v>
      </c>
      <c r="C95" s="70">
        <v>-3.0700000000000198</v>
      </c>
      <c r="D95" s="70">
        <v>1</v>
      </c>
      <c r="E95" s="71">
        <f t="shared" si="11"/>
        <v>-4.7124500000000609</v>
      </c>
      <c r="F95" s="72">
        <f t="shared" si="12"/>
        <v>3.5835959291621419E-3</v>
      </c>
      <c r="G95" s="70">
        <f t="shared" si="8"/>
        <v>9.9999999999997868E-3</v>
      </c>
      <c r="H95" s="60">
        <f t="shared" si="13"/>
        <v>3.5835959291620659E-5</v>
      </c>
      <c r="I95" s="60">
        <f t="shared" si="14"/>
        <v>1.0572969620569585E-3</v>
      </c>
      <c r="J95" s="60">
        <f t="shared" si="9"/>
        <v>1.0702938546788528E-3</v>
      </c>
    </row>
    <row r="96" spans="1:10" x14ac:dyDescent="0.3">
      <c r="A96" s="70">
        <f t="shared" si="10"/>
        <v>-3.06000000000002</v>
      </c>
      <c r="B96" s="60">
        <v>0</v>
      </c>
      <c r="C96" s="70">
        <v>-3.06000000000002</v>
      </c>
      <c r="D96" s="70">
        <v>1</v>
      </c>
      <c r="E96" s="71">
        <f t="shared" si="11"/>
        <v>-4.6818000000000612</v>
      </c>
      <c r="F96" s="72">
        <f t="shared" si="12"/>
        <v>3.6951337295588085E-3</v>
      </c>
      <c r="G96" s="70">
        <f t="shared" si="8"/>
        <v>1.0000000000000231E-2</v>
      </c>
      <c r="H96" s="60">
        <f t="shared" si="13"/>
        <v>3.695133729558894E-5</v>
      </c>
      <c r="I96" s="60">
        <f t="shared" si="14"/>
        <v>1.0942482993525474E-3</v>
      </c>
      <c r="J96" s="60">
        <f t="shared" si="9"/>
        <v>1.1066849574091729E-3</v>
      </c>
    </row>
    <row r="97" spans="1:10" x14ac:dyDescent="0.3">
      <c r="A97" s="70">
        <f t="shared" si="10"/>
        <v>-3.0500000000000198</v>
      </c>
      <c r="B97" s="60">
        <v>0</v>
      </c>
      <c r="C97" s="70">
        <v>-3.0500000000000198</v>
      </c>
      <c r="D97" s="70">
        <v>1</v>
      </c>
      <c r="E97" s="71">
        <f t="shared" si="11"/>
        <v>-4.6512500000000605</v>
      </c>
      <c r="F97" s="72">
        <f t="shared" si="12"/>
        <v>3.8097620982215767E-3</v>
      </c>
      <c r="G97" s="70">
        <f t="shared" si="8"/>
        <v>9.9999999999997868E-3</v>
      </c>
      <c r="H97" s="60">
        <f t="shared" si="13"/>
        <v>3.8097620982214954E-5</v>
      </c>
      <c r="I97" s="60">
        <f t="shared" si="14"/>
        <v>1.1323459203347625E-3</v>
      </c>
      <c r="J97" s="60">
        <f t="shared" si="9"/>
        <v>1.1442068310226232E-3</v>
      </c>
    </row>
    <row r="98" spans="1:10" x14ac:dyDescent="0.3">
      <c r="A98" s="70">
        <f t="shared" si="10"/>
        <v>-3.04000000000002</v>
      </c>
      <c r="B98" s="60">
        <v>0</v>
      </c>
      <c r="C98" s="70">
        <v>-3.04000000000002</v>
      </c>
      <c r="D98" s="70">
        <v>1</v>
      </c>
      <c r="E98" s="71">
        <f t="shared" si="11"/>
        <v>-4.6208000000000613</v>
      </c>
      <c r="F98" s="72">
        <f t="shared" si="12"/>
        <v>3.9275536289245386E-3</v>
      </c>
      <c r="G98" s="70">
        <f t="shared" si="8"/>
        <v>1.0000000000000231E-2</v>
      </c>
      <c r="H98" s="60">
        <f t="shared" si="13"/>
        <v>3.9275536289246294E-5</v>
      </c>
      <c r="I98" s="60">
        <f t="shared" si="14"/>
        <v>1.1716214566240089E-3</v>
      </c>
      <c r="J98" s="60">
        <f t="shared" si="9"/>
        <v>1.1828907431043283E-3</v>
      </c>
    </row>
    <row r="99" spans="1:10" x14ac:dyDescent="0.3">
      <c r="A99" s="70">
        <f t="shared" si="10"/>
        <v>-3.0300000000000198</v>
      </c>
      <c r="B99" s="60">
        <v>0</v>
      </c>
      <c r="C99" s="70">
        <v>-3.0300000000000198</v>
      </c>
      <c r="D99" s="70">
        <v>1</v>
      </c>
      <c r="E99" s="71">
        <f t="shared" si="11"/>
        <v>-4.5904500000000601</v>
      </c>
      <c r="F99" s="72">
        <f t="shared" si="12"/>
        <v>4.0485822000941845E-3</v>
      </c>
      <c r="G99" s="70">
        <f t="shared" si="8"/>
        <v>9.9999999999997868E-3</v>
      </c>
      <c r="H99" s="60">
        <f t="shared" si="13"/>
        <v>4.0485822000940984E-5</v>
      </c>
      <c r="I99" s="60">
        <f t="shared" si="14"/>
        <v>1.2121072786249497E-3</v>
      </c>
      <c r="J99" s="60">
        <f t="shared" si="9"/>
        <v>1.2227686935921771E-3</v>
      </c>
    </row>
    <row r="100" spans="1:10" x14ac:dyDescent="0.3">
      <c r="A100" s="70">
        <f t="shared" si="10"/>
        <v>-3.02000000000002</v>
      </c>
      <c r="B100" s="60">
        <v>0</v>
      </c>
      <c r="C100" s="70">
        <v>-3.02000000000002</v>
      </c>
      <c r="D100" s="70">
        <v>1</v>
      </c>
      <c r="E100" s="71">
        <f t="shared" si="11"/>
        <v>-4.5602000000000604</v>
      </c>
      <c r="F100" s="72">
        <f t="shared" si="12"/>
        <v>4.1729229845237107E-3</v>
      </c>
      <c r="G100" s="70">
        <f t="shared" si="8"/>
        <v>9.9999999999997868E-3</v>
      </c>
      <c r="H100" s="60">
        <f t="shared" si="13"/>
        <v>4.172922984523622E-5</v>
      </c>
      <c r="I100" s="60">
        <f t="shared" si="14"/>
        <v>1.253836508470186E-3</v>
      </c>
      <c r="J100" s="60">
        <f t="shared" si="9"/>
        <v>1.2638734276722147E-3</v>
      </c>
    </row>
    <row r="101" spans="1:10" x14ac:dyDescent="0.3">
      <c r="A101" s="70">
        <f t="shared" si="10"/>
        <v>-3.0100000000000202</v>
      </c>
      <c r="B101" s="60">
        <v>0</v>
      </c>
      <c r="C101" s="70">
        <v>-3.0100000000000202</v>
      </c>
      <c r="D101" s="70">
        <v>1</v>
      </c>
      <c r="E101" s="71">
        <f t="shared" si="11"/>
        <v>-4.5300500000000605</v>
      </c>
      <c r="F101" s="72">
        <f t="shared" si="12"/>
        <v>4.3006524587301869E-3</v>
      </c>
      <c r="G101" s="70">
        <f t="shared" si="8"/>
        <v>1.0000000000000231E-2</v>
      </c>
      <c r="H101" s="60">
        <f t="shared" si="13"/>
        <v>4.3006524587302865E-5</v>
      </c>
      <c r="I101" s="60">
        <f t="shared" si="14"/>
        <v>1.2968430330574888E-3</v>
      </c>
      <c r="J101" s="60">
        <f t="shared" si="9"/>
        <v>1.3062384487693814E-3</v>
      </c>
    </row>
    <row r="102" spans="1:10" x14ac:dyDescent="0.3">
      <c r="A102" s="70">
        <f t="shared" si="10"/>
        <v>-3.00000000000002</v>
      </c>
      <c r="B102" s="60">
        <v>0</v>
      </c>
      <c r="C102" s="70">
        <v>-3.00000000000002</v>
      </c>
      <c r="D102" s="70">
        <v>1</v>
      </c>
      <c r="E102" s="71">
        <f t="shared" si="11"/>
        <v>-4.5000000000000604</v>
      </c>
      <c r="F102" s="72">
        <f t="shared" si="12"/>
        <v>4.4318484119377395E-3</v>
      </c>
      <c r="G102" s="70">
        <f t="shared" si="8"/>
        <v>9.9999999999997868E-3</v>
      </c>
      <c r="H102" s="60">
        <f t="shared" si="13"/>
        <v>4.4318484119376448E-5</v>
      </c>
      <c r="I102" s="60">
        <f t="shared" si="14"/>
        <v>1.3411615171768654E-3</v>
      </c>
      <c r="J102" s="60">
        <f t="shared" si="9"/>
        <v>1.3498980316300039E-3</v>
      </c>
    </row>
    <row r="103" spans="1:10" x14ac:dyDescent="0.3">
      <c r="A103" s="70">
        <f t="shared" si="10"/>
        <v>-2.9900000000000202</v>
      </c>
      <c r="B103" s="60">
        <v>0</v>
      </c>
      <c r="C103" s="70">
        <v>-2.9900000000000202</v>
      </c>
      <c r="D103" s="70">
        <v>1</v>
      </c>
      <c r="E103" s="71">
        <f t="shared" si="11"/>
        <v>-4.47005000000006</v>
      </c>
      <c r="F103" s="72">
        <f t="shared" si="12"/>
        <v>4.5665899546698729E-3</v>
      </c>
      <c r="G103" s="70">
        <f t="shared" si="8"/>
        <v>1.0000000000000231E-2</v>
      </c>
      <c r="H103" s="60">
        <f t="shared" si="13"/>
        <v>4.566589954669978E-5</v>
      </c>
      <c r="I103" s="60">
        <f t="shared" si="14"/>
        <v>1.3868274167235651E-3</v>
      </c>
      <c r="J103" s="60">
        <f t="shared" si="9"/>
        <v>1.3948872354921584E-3</v>
      </c>
    </row>
    <row r="104" spans="1:10" x14ac:dyDescent="0.3">
      <c r="A104" s="70">
        <f t="shared" si="10"/>
        <v>-2.98000000000002</v>
      </c>
      <c r="B104" s="60">
        <v>0</v>
      </c>
      <c r="C104" s="70">
        <v>-2.98000000000002</v>
      </c>
      <c r="D104" s="70">
        <v>1</v>
      </c>
      <c r="E104" s="71">
        <f t="shared" si="11"/>
        <v>-4.4402000000000594</v>
      </c>
      <c r="F104" s="72">
        <f t="shared" si="12"/>
        <v>4.7049575269336999E-3</v>
      </c>
      <c r="G104" s="70">
        <f t="shared" si="8"/>
        <v>9.9999999999997868E-3</v>
      </c>
      <c r="H104" s="60">
        <f t="shared" si="13"/>
        <v>4.7049575269335995E-5</v>
      </c>
      <c r="I104" s="60">
        <f t="shared" si="14"/>
        <v>1.4338769919929012E-3</v>
      </c>
      <c r="J104" s="60">
        <f t="shared" si="9"/>
        <v>1.4412419173399195E-3</v>
      </c>
    </row>
    <row r="105" spans="1:10" x14ac:dyDescent="0.3">
      <c r="A105" s="70">
        <f t="shared" si="10"/>
        <v>-2.9700000000000202</v>
      </c>
      <c r="B105" s="60">
        <v>0</v>
      </c>
      <c r="C105" s="70">
        <v>-2.9700000000000202</v>
      </c>
      <c r="D105" s="70">
        <v>1</v>
      </c>
      <c r="E105" s="71">
        <f t="shared" si="11"/>
        <v>-4.4104500000000595</v>
      </c>
      <c r="F105" s="72">
        <f t="shared" si="12"/>
        <v>4.8470329059786595E-3</v>
      </c>
      <c r="G105" s="70">
        <f t="shared" si="8"/>
        <v>1.0000000000000231E-2</v>
      </c>
      <c r="H105" s="60">
        <f t="shared" si="13"/>
        <v>4.8470329059787714E-5</v>
      </c>
      <c r="I105" s="60">
        <f t="shared" si="14"/>
        <v>1.482347321052689E-3</v>
      </c>
      <c r="J105" s="60">
        <f t="shared" si="9"/>
        <v>1.4889987452373656E-3</v>
      </c>
    </row>
    <row r="106" spans="1:10" x14ac:dyDescent="0.3">
      <c r="A106" s="70">
        <f t="shared" si="10"/>
        <v>-2.9600000000000199</v>
      </c>
      <c r="B106" s="60">
        <v>0</v>
      </c>
      <c r="C106" s="70">
        <v>-2.9600000000000199</v>
      </c>
      <c r="D106" s="70">
        <v>1</v>
      </c>
      <c r="E106" s="71">
        <f t="shared" si="11"/>
        <v>-4.3808000000000593</v>
      </c>
      <c r="F106" s="72">
        <f t="shared" si="12"/>
        <v>4.9928992136120788E-3</v>
      </c>
      <c r="G106" s="70">
        <f t="shared" si="8"/>
        <v>9.9999999999997868E-3</v>
      </c>
      <c r="H106" s="60">
        <f t="shared" si="13"/>
        <v>4.9928992136119727E-5</v>
      </c>
      <c r="I106" s="60">
        <f t="shared" si="14"/>
        <v>1.5322763131888086E-3</v>
      </c>
      <c r="J106" s="60">
        <f t="shared" si="9"/>
        <v>1.538195211737957E-3</v>
      </c>
    </row>
    <row r="107" spans="1:10" x14ac:dyDescent="0.3">
      <c r="A107" s="70">
        <f t="shared" si="10"/>
        <v>-2.9500000000000202</v>
      </c>
      <c r="B107" s="60">
        <v>0</v>
      </c>
      <c r="C107" s="70">
        <v>-2.9500000000000202</v>
      </c>
      <c r="D107" s="70">
        <v>1</v>
      </c>
      <c r="E107" s="71">
        <f t="shared" si="11"/>
        <v>-4.3512500000000598</v>
      </c>
      <c r="F107" s="72">
        <f t="shared" si="12"/>
        <v>5.1426409230536331E-3</v>
      </c>
      <c r="G107" s="70">
        <f t="shared" si="8"/>
        <v>1.0000000000000231E-2</v>
      </c>
      <c r="H107" s="60">
        <f t="shared" si="13"/>
        <v>5.1426409230537517E-5</v>
      </c>
      <c r="I107" s="60">
        <f t="shared" si="14"/>
        <v>1.5837027224193461E-3</v>
      </c>
      <c r="J107" s="60">
        <f t="shared" si="9"/>
        <v>1.5888696473647626E-3</v>
      </c>
    </row>
    <row r="108" spans="1:10" x14ac:dyDescent="0.3">
      <c r="A108" s="70">
        <f t="shared" si="10"/>
        <v>-2.9400000000000199</v>
      </c>
      <c r="B108" s="60">
        <v>0</v>
      </c>
      <c r="C108" s="70">
        <v>-2.9400000000000199</v>
      </c>
      <c r="D108" s="70">
        <v>1</v>
      </c>
      <c r="E108" s="71">
        <f t="shared" si="11"/>
        <v>-4.3218000000000583</v>
      </c>
      <c r="F108" s="72">
        <f t="shared" si="12"/>
        <v>5.2963438653107087E-3</v>
      </c>
      <c r="G108" s="70">
        <f t="shared" si="8"/>
        <v>9.9999999999997868E-3</v>
      </c>
      <c r="H108" s="60">
        <f t="shared" si="13"/>
        <v>5.2963438653105959E-5</v>
      </c>
      <c r="I108" s="60">
        <f t="shared" si="14"/>
        <v>1.636666161072452E-3</v>
      </c>
      <c r="J108" s="60">
        <f t="shared" si="9"/>
        <v>1.6410612341568908E-3</v>
      </c>
    </row>
    <row r="109" spans="1:10" x14ac:dyDescent="0.3">
      <c r="A109" s="70">
        <f t="shared" si="10"/>
        <v>-2.9300000000000201</v>
      </c>
      <c r="B109" s="60">
        <v>0</v>
      </c>
      <c r="C109" s="70">
        <v>-2.9300000000000201</v>
      </c>
      <c r="D109" s="70">
        <v>1</v>
      </c>
      <c r="E109" s="71">
        <f t="shared" si="11"/>
        <v>-4.2924500000000592</v>
      </c>
      <c r="F109" s="72">
        <f t="shared" si="12"/>
        <v>5.4540952350562262E-3</v>
      </c>
      <c r="G109" s="70">
        <f t="shared" si="8"/>
        <v>1.0000000000000231E-2</v>
      </c>
      <c r="H109" s="60">
        <f t="shared" si="13"/>
        <v>5.4540952350563519E-5</v>
      </c>
      <c r="I109" s="60">
        <f t="shared" si="14"/>
        <v>1.6912071134230155E-3</v>
      </c>
      <c r="J109" s="60">
        <f t="shared" si="9"/>
        <v>1.6948100192771503E-3</v>
      </c>
    </row>
    <row r="110" spans="1:10" x14ac:dyDescent="0.3">
      <c r="A110" s="70">
        <f t="shared" si="10"/>
        <v>-2.9200000000000199</v>
      </c>
      <c r="B110" s="60">
        <v>0</v>
      </c>
      <c r="C110" s="70">
        <v>-2.9200000000000199</v>
      </c>
      <c r="D110" s="70">
        <v>1</v>
      </c>
      <c r="E110" s="71">
        <f t="shared" si="11"/>
        <v>-4.2632000000000581</v>
      </c>
      <c r="F110" s="72">
        <f t="shared" si="12"/>
        <v>5.6159835959906394E-3</v>
      </c>
      <c r="G110" s="70">
        <f t="shared" si="8"/>
        <v>9.9999999999997868E-3</v>
      </c>
      <c r="H110" s="60">
        <f t="shared" si="13"/>
        <v>5.6159835959905196E-5</v>
      </c>
      <c r="I110" s="60">
        <f t="shared" si="14"/>
        <v>1.7473669493829206E-3</v>
      </c>
      <c r="J110" s="60">
        <f t="shared" si="9"/>
        <v>1.7501569286759869E-3</v>
      </c>
    </row>
    <row r="111" spans="1:10" x14ac:dyDescent="0.3">
      <c r="A111" s="70">
        <f t="shared" si="10"/>
        <v>-2.9100000000000201</v>
      </c>
      <c r="B111" s="60">
        <v>0</v>
      </c>
      <c r="C111" s="70">
        <v>-2.9100000000000201</v>
      </c>
      <c r="D111" s="70">
        <v>1</v>
      </c>
      <c r="E111" s="71">
        <f t="shared" si="11"/>
        <v>-4.2340500000000585</v>
      </c>
      <c r="F111" s="72">
        <f t="shared" si="12"/>
        <v>5.7820988856691381E-3</v>
      </c>
      <c r="G111" s="70">
        <f t="shared" si="8"/>
        <v>1.0000000000000231E-2</v>
      </c>
      <c r="H111" s="60">
        <f t="shared" si="13"/>
        <v>5.7820988856692716E-5</v>
      </c>
      <c r="I111" s="60">
        <f t="shared" si="14"/>
        <v>1.8051879382396134E-3</v>
      </c>
      <c r="J111" s="60">
        <f t="shared" si="9"/>
        <v>1.8071437808063111E-3</v>
      </c>
    </row>
    <row r="112" spans="1:10" x14ac:dyDescent="0.3">
      <c r="A112" s="70">
        <f t="shared" si="10"/>
        <v>-2.9000000000000199</v>
      </c>
      <c r="B112" s="60">
        <v>0</v>
      </c>
      <c r="C112" s="70">
        <v>-2.9000000000000199</v>
      </c>
      <c r="D112" s="70">
        <v>1</v>
      </c>
      <c r="E112" s="71">
        <f t="shared" si="11"/>
        <v>-4.2050000000000578</v>
      </c>
      <c r="F112" s="72">
        <f t="shared" si="12"/>
        <v>5.9525324197755095E-3</v>
      </c>
      <c r="G112" s="70">
        <f t="shared" si="8"/>
        <v>9.9999999999997868E-3</v>
      </c>
      <c r="H112" s="60">
        <f t="shared" si="13"/>
        <v>5.9525324197753824E-5</v>
      </c>
      <c r="I112" s="60">
        <f t="shared" si="14"/>
        <v>1.8647132624373672E-3</v>
      </c>
      <c r="J112" s="60">
        <f t="shared" si="9"/>
        <v>1.8658133003839187E-3</v>
      </c>
    </row>
    <row r="113" spans="1:10" x14ac:dyDescent="0.3">
      <c r="A113" s="70">
        <f t="shared" si="10"/>
        <v>-2.8900000000000201</v>
      </c>
      <c r="B113" s="60">
        <v>0</v>
      </c>
      <c r="C113" s="70">
        <v>-2.8900000000000201</v>
      </c>
      <c r="D113" s="70">
        <v>1</v>
      </c>
      <c r="E113" s="71">
        <f t="shared" si="11"/>
        <v>-4.1760500000000578</v>
      </c>
      <c r="F113" s="72">
        <f t="shared" si="12"/>
        <v>6.1273768958233343E-3</v>
      </c>
      <c r="G113" s="70">
        <f t="shared" si="8"/>
        <v>1.0000000000000231E-2</v>
      </c>
      <c r="H113" s="60">
        <f t="shared" si="13"/>
        <v>6.1273768958234755E-5</v>
      </c>
      <c r="I113" s="60">
        <f t="shared" si="14"/>
        <v>1.9259870313956019E-3</v>
      </c>
      <c r="J113" s="60">
        <f t="shared" si="9"/>
        <v>1.9262091321877359E-3</v>
      </c>
    </row>
    <row r="114" spans="1:10" x14ac:dyDescent="0.3">
      <c r="A114" s="70">
        <f t="shared" si="10"/>
        <v>-2.8800000000000199</v>
      </c>
      <c r="B114" s="60">
        <v>0</v>
      </c>
      <c r="C114" s="70">
        <v>-2.8800000000000199</v>
      </c>
      <c r="D114" s="70">
        <v>1</v>
      </c>
      <c r="E114" s="71">
        <f t="shared" si="11"/>
        <v>-4.1472000000000575</v>
      </c>
      <c r="F114" s="72">
        <f t="shared" si="12"/>
        <v>6.3067263962655632E-3</v>
      </c>
      <c r="G114" s="70">
        <f t="shared" si="8"/>
        <v>9.9999999999997868E-3</v>
      </c>
      <c r="H114" s="60">
        <f t="shared" si="13"/>
        <v>6.306726396265429E-5</v>
      </c>
      <c r="I114" s="60">
        <f t="shared" si="14"/>
        <v>1.9890542953582562E-3</v>
      </c>
      <c r="J114" s="60">
        <f t="shared" si="9"/>
        <v>1.9883758548941985E-3</v>
      </c>
    </row>
    <row r="115" spans="1:10" x14ac:dyDescent="0.3">
      <c r="A115" s="70">
        <f t="shared" si="10"/>
        <v>-2.8700000000000201</v>
      </c>
      <c r="B115" s="60">
        <v>0</v>
      </c>
      <c r="C115" s="70">
        <v>-2.8700000000000201</v>
      </c>
      <c r="D115" s="70">
        <v>1</v>
      </c>
      <c r="E115" s="71">
        <f t="shared" si="11"/>
        <v>-4.1184500000000579</v>
      </c>
      <c r="F115" s="72">
        <f t="shared" si="12"/>
        <v>6.4906763909929896E-3</v>
      </c>
      <c r="G115" s="70">
        <f t="shared" si="8"/>
        <v>1.0000000000000231E-2</v>
      </c>
      <c r="H115" s="60">
        <f t="shared" si="13"/>
        <v>6.4906763909931397E-5</v>
      </c>
      <c r="I115" s="60">
        <f t="shared" si="14"/>
        <v>2.0539610592681876E-3</v>
      </c>
      <c r="J115" s="60">
        <f t="shared" si="9"/>
        <v>2.0523589949396231E-3</v>
      </c>
    </row>
    <row r="116" spans="1:10" x14ac:dyDescent="0.3">
      <c r="A116" s="70">
        <f t="shared" si="10"/>
        <v>-2.8600000000000199</v>
      </c>
      <c r="B116" s="60">
        <v>0</v>
      </c>
      <c r="C116" s="70">
        <v>-2.8600000000000199</v>
      </c>
      <c r="D116" s="70">
        <v>1</v>
      </c>
      <c r="E116" s="71">
        <f t="shared" si="11"/>
        <v>-4.0898000000000572</v>
      </c>
      <c r="F116" s="72">
        <f t="shared" si="12"/>
        <v>6.6793237392022359E-3</v>
      </c>
      <c r="G116" s="70">
        <f t="shared" si="8"/>
        <v>9.9999999999997868E-3</v>
      </c>
      <c r="H116" s="60">
        <f t="shared" si="13"/>
        <v>6.679323739202094E-5</v>
      </c>
      <c r="I116" s="60">
        <f t="shared" si="14"/>
        <v>2.1207542966602084E-3</v>
      </c>
      <c r="J116" s="60">
        <f t="shared" si="9"/>
        <v>2.1182050404044864E-3</v>
      </c>
    </row>
    <row r="117" spans="1:10" x14ac:dyDescent="0.3">
      <c r="A117" s="70">
        <f t="shared" si="10"/>
        <v>-2.8500000000000201</v>
      </c>
      <c r="B117" s="60">
        <v>0</v>
      </c>
      <c r="C117" s="70">
        <v>-2.8500000000000201</v>
      </c>
      <c r="D117" s="70">
        <v>1</v>
      </c>
      <c r="E117" s="71">
        <f t="shared" si="11"/>
        <v>-4.0612500000000571</v>
      </c>
      <c r="F117" s="72">
        <f t="shared" si="12"/>
        <v>6.8727666906135809E-3</v>
      </c>
      <c r="G117" s="70">
        <f t="shared" si="8"/>
        <v>1.0000000000000231E-2</v>
      </c>
      <c r="H117" s="60">
        <f t="shared" si="13"/>
        <v>6.8727666906137391E-5</v>
      </c>
      <c r="I117" s="60">
        <f t="shared" si="14"/>
        <v>2.1894819635663457E-3</v>
      </c>
      <c r="J117" s="60">
        <f t="shared" si="9"/>
        <v>2.1859614549131021E-3</v>
      </c>
    </row>
    <row r="118" spans="1:10" x14ac:dyDescent="0.3">
      <c r="A118" s="70">
        <f t="shared" si="10"/>
        <v>-2.8400000000000198</v>
      </c>
      <c r="B118" s="60">
        <v>0</v>
      </c>
      <c r="C118" s="70">
        <v>-2.8400000000000198</v>
      </c>
      <c r="D118" s="70">
        <v>1</v>
      </c>
      <c r="E118" s="71">
        <f t="shared" si="11"/>
        <v>-4.0328000000000568</v>
      </c>
      <c r="F118" s="72">
        <f t="shared" si="12"/>
        <v>7.0711048860190471E-3</v>
      </c>
      <c r="G118" s="70">
        <f t="shared" si="8"/>
        <v>9.9999999999997868E-3</v>
      </c>
      <c r="H118" s="60">
        <f t="shared" si="13"/>
        <v>7.071104886018896E-5</v>
      </c>
      <c r="I118" s="60">
        <f t="shared" si="14"/>
        <v>2.2601930124265348E-3</v>
      </c>
      <c r="J118" s="60">
        <f t="shared" si="9"/>
        <v>2.2556766915421836E-3</v>
      </c>
    </row>
    <row r="119" spans="1:10" x14ac:dyDescent="0.3">
      <c r="A119" s="70">
        <f t="shared" si="10"/>
        <v>-2.8300000000000201</v>
      </c>
      <c r="B119" s="60">
        <v>0</v>
      </c>
      <c r="C119" s="70">
        <v>-2.8300000000000201</v>
      </c>
      <c r="D119" s="70">
        <v>1</v>
      </c>
      <c r="E119" s="71">
        <f t="shared" si="11"/>
        <v>-4.0044500000000571</v>
      </c>
      <c r="F119" s="72">
        <f t="shared" si="12"/>
        <v>7.2744393571408045E-3</v>
      </c>
      <c r="G119" s="70">
        <f t="shared" si="8"/>
        <v>9.9999999999900169E-3</v>
      </c>
      <c r="H119" s="60">
        <f t="shared" si="13"/>
        <v>7.2744393571335427E-5</v>
      </c>
      <c r="I119" s="60">
        <f t="shared" si="14"/>
        <v>2.3329374059978701E-3</v>
      </c>
      <c r="J119" s="60">
        <f t="shared" si="9"/>
        <v>2.3274002067314079E-3</v>
      </c>
    </row>
    <row r="120" spans="1:10" x14ac:dyDescent="0.3">
      <c r="A120" s="70">
        <f t="shared" si="10"/>
        <v>-2.82000000000003</v>
      </c>
      <c r="B120" s="60">
        <v>0</v>
      </c>
      <c r="C120" s="70">
        <v>-2.82000000000003</v>
      </c>
      <c r="D120" s="70">
        <v>1</v>
      </c>
      <c r="E120" s="71">
        <f t="shared" si="11"/>
        <v>-3.9762000000000848</v>
      </c>
      <c r="F120" s="72">
        <f t="shared" si="12"/>
        <v>7.4828725257799255E-3</v>
      </c>
      <c r="G120" s="70">
        <f t="shared" si="8"/>
        <v>1.0000000000000231E-2</v>
      </c>
      <c r="H120" s="60">
        <f t="shared" si="13"/>
        <v>7.4828725257800982E-5</v>
      </c>
      <c r="I120" s="60">
        <f t="shared" si="14"/>
        <v>2.4077661312556712E-3</v>
      </c>
      <c r="J120" s="60">
        <f t="shared" si="9"/>
        <v>2.401182474189024E-3</v>
      </c>
    </row>
    <row r="121" spans="1:10" x14ac:dyDescent="0.3">
      <c r="A121" s="70">
        <f t="shared" si="10"/>
        <v>-2.8100000000000298</v>
      </c>
      <c r="B121" s="60">
        <v>0</v>
      </c>
      <c r="C121" s="70">
        <v>-2.8100000000000298</v>
      </c>
      <c r="D121" s="70">
        <v>1</v>
      </c>
      <c r="E121" s="71">
        <f t="shared" si="11"/>
        <v>-3.9480500000000838</v>
      </c>
      <c r="F121" s="72">
        <f t="shared" si="12"/>
        <v>7.6965082022366791E-3</v>
      </c>
      <c r="G121" s="70">
        <f t="shared" si="8"/>
        <v>9.9999999999997868E-3</v>
      </c>
      <c r="H121" s="60">
        <f t="shared" si="13"/>
        <v>7.6965082022365156E-5</v>
      </c>
      <c r="I121" s="60">
        <f t="shared" si="14"/>
        <v>2.4847312132780363E-3</v>
      </c>
      <c r="J121" s="60">
        <f t="shared" si="9"/>
        <v>2.4770749987856307E-3</v>
      </c>
    </row>
    <row r="122" spans="1:10" x14ac:dyDescent="0.3">
      <c r="A122" s="70">
        <f t="shared" si="10"/>
        <v>-2.80000000000003</v>
      </c>
      <c r="B122" s="60">
        <v>0</v>
      </c>
      <c r="C122" s="70">
        <v>-2.80000000000003</v>
      </c>
      <c r="D122" s="70">
        <v>1</v>
      </c>
      <c r="E122" s="71">
        <f t="shared" si="11"/>
        <v>-3.9200000000000839</v>
      </c>
      <c r="F122" s="72">
        <f t="shared" si="12"/>
        <v>7.9154515829792989E-3</v>
      </c>
      <c r="G122" s="70">
        <f t="shared" si="8"/>
        <v>1.0000000000000231E-2</v>
      </c>
      <c r="H122" s="60">
        <f t="shared" si="13"/>
        <v>7.9154515829794821E-5</v>
      </c>
      <c r="I122" s="60">
        <f t="shared" si="14"/>
        <v>2.5638857291078311E-3</v>
      </c>
      <c r="J122" s="60">
        <f t="shared" si="9"/>
        <v>2.5551303304276918E-3</v>
      </c>
    </row>
    <row r="123" spans="1:10" x14ac:dyDescent="0.3">
      <c r="A123" s="70">
        <f t="shared" si="10"/>
        <v>-2.7900000000000298</v>
      </c>
      <c r="B123" s="60">
        <v>0</v>
      </c>
      <c r="C123" s="70">
        <v>-2.7900000000000298</v>
      </c>
      <c r="D123" s="70">
        <v>1</v>
      </c>
      <c r="E123" s="71">
        <f t="shared" si="11"/>
        <v>-3.8920500000000833</v>
      </c>
      <c r="F123" s="72">
        <f t="shared" si="12"/>
        <v>8.1398092475453449E-3</v>
      </c>
      <c r="G123" s="70">
        <f t="shared" si="8"/>
        <v>9.9999999999997868E-3</v>
      </c>
      <c r="H123" s="60">
        <f t="shared" si="13"/>
        <v>8.1398092475451717E-5</v>
      </c>
      <c r="I123" s="60">
        <f t="shared" si="14"/>
        <v>2.6452838215832828E-3</v>
      </c>
      <c r="J123" s="60">
        <f t="shared" si="9"/>
        <v>2.6354020779047085E-3</v>
      </c>
    </row>
    <row r="124" spans="1:10" x14ac:dyDescent="0.3">
      <c r="A124" s="70">
        <f t="shared" si="10"/>
        <v>-2.78000000000003</v>
      </c>
      <c r="B124" s="60">
        <v>0</v>
      </c>
      <c r="C124" s="70">
        <v>-2.78000000000003</v>
      </c>
      <c r="D124" s="70">
        <v>1</v>
      </c>
      <c r="E124" s="71">
        <f t="shared" si="11"/>
        <v>-3.8642000000000833</v>
      </c>
      <c r="F124" s="72">
        <f t="shared" si="12"/>
        <v>8.3696891546523322E-3</v>
      </c>
      <c r="G124" s="70">
        <f t="shared" si="8"/>
        <v>9.9999999999997868E-3</v>
      </c>
      <c r="H124" s="60">
        <f t="shared" si="13"/>
        <v>8.3696891546521538E-5</v>
      </c>
      <c r="I124" s="60">
        <f t="shared" si="14"/>
        <v>2.7289807131298041E-3</v>
      </c>
      <c r="J124" s="60">
        <f t="shared" si="9"/>
        <v>2.7179449227010054E-3</v>
      </c>
    </row>
    <row r="125" spans="1:10" x14ac:dyDescent="0.3">
      <c r="A125" s="70">
        <f t="shared" si="10"/>
        <v>-2.7700000000000302</v>
      </c>
      <c r="B125" s="60">
        <v>0</v>
      </c>
      <c r="C125" s="70">
        <v>-2.7700000000000302</v>
      </c>
      <c r="D125" s="70">
        <v>1</v>
      </c>
      <c r="E125" s="71">
        <f t="shared" si="11"/>
        <v>-3.8364500000000836</v>
      </c>
      <c r="F125" s="72">
        <f t="shared" si="12"/>
        <v>8.6052006374989533E-3</v>
      </c>
      <c r="G125" s="70">
        <f t="shared" si="8"/>
        <v>1.0000000000000231E-2</v>
      </c>
      <c r="H125" s="60">
        <f t="shared" si="13"/>
        <v>8.6052006374991527E-5</v>
      </c>
      <c r="I125" s="60">
        <f t="shared" si="14"/>
        <v>2.8150327195047955E-3</v>
      </c>
      <c r="J125" s="60">
        <f t="shared" si="9"/>
        <v>2.8028146327647653E-3</v>
      </c>
    </row>
    <row r="126" spans="1:10" x14ac:dyDescent="0.3">
      <c r="A126" s="70">
        <f t="shared" si="10"/>
        <v>-2.76000000000003</v>
      </c>
      <c r="B126" s="60">
        <v>0</v>
      </c>
      <c r="C126" s="70">
        <v>-2.76000000000003</v>
      </c>
      <c r="D126" s="70">
        <v>1</v>
      </c>
      <c r="E126" s="71">
        <f t="shared" si="11"/>
        <v>-3.8088000000000828</v>
      </c>
      <c r="F126" s="72">
        <f t="shared" si="12"/>
        <v>8.8464543982364925E-3</v>
      </c>
      <c r="G126" s="70">
        <f t="shared" si="8"/>
        <v>9.9999999999997868E-3</v>
      </c>
      <c r="H126" s="60">
        <f t="shared" si="13"/>
        <v>8.8464543982363033E-5</v>
      </c>
      <c r="I126" s="60">
        <f t="shared" si="14"/>
        <v>2.9034972634871584E-3</v>
      </c>
      <c r="J126" s="60">
        <f t="shared" si="9"/>
        <v>2.8900680762258793E-3</v>
      </c>
    </row>
    <row r="127" spans="1:10" x14ac:dyDescent="0.3">
      <c r="A127" s="70">
        <f t="shared" si="10"/>
        <v>-2.7500000000000302</v>
      </c>
      <c r="B127" s="60">
        <v>0</v>
      </c>
      <c r="C127" s="70">
        <v>-2.7500000000000302</v>
      </c>
      <c r="D127" s="70">
        <v>1</v>
      </c>
      <c r="E127" s="71">
        <f t="shared" si="11"/>
        <v>-3.781250000000083</v>
      </c>
      <c r="F127" s="72">
        <f t="shared" si="12"/>
        <v>9.0935625015902983E-3</v>
      </c>
      <c r="G127" s="70">
        <f t="shared" si="8"/>
        <v>1.0000000000000231E-2</v>
      </c>
      <c r="H127" s="60">
        <f t="shared" si="13"/>
        <v>9.0935625015905089E-5</v>
      </c>
      <c r="I127" s="60">
        <f t="shared" si="14"/>
        <v>2.9944328885030637E-3</v>
      </c>
      <c r="J127" s="60">
        <f t="shared" si="9"/>
        <v>2.9797632350542797E-3</v>
      </c>
    </row>
    <row r="128" spans="1:10" x14ac:dyDescent="0.3">
      <c r="A128" s="70">
        <f t="shared" si="10"/>
        <v>-2.74000000000003</v>
      </c>
      <c r="B128" s="60">
        <v>0</v>
      </c>
      <c r="C128" s="70">
        <v>-2.74000000000003</v>
      </c>
      <c r="D128" s="70">
        <v>1</v>
      </c>
      <c r="E128" s="71">
        <f t="shared" si="11"/>
        <v>-3.7538000000000822</v>
      </c>
      <c r="F128" s="72">
        <f t="shared" si="12"/>
        <v>9.3466383676115185E-3</v>
      </c>
      <c r="G128" s="70">
        <f t="shared" si="8"/>
        <v>9.9999999999997868E-3</v>
      </c>
      <c r="H128" s="60">
        <f t="shared" ref="H128:H191" si="15">F128*G128</f>
        <v>9.3466383676113195E-5</v>
      </c>
      <c r="I128" s="60">
        <f t="shared" si="14"/>
        <v>3.0878992721791771E-3</v>
      </c>
      <c r="J128" s="60">
        <f t="shared" si="9"/>
        <v>3.0719592186502121E-3</v>
      </c>
    </row>
    <row r="129" spans="1:10" x14ac:dyDescent="0.3">
      <c r="A129" s="70">
        <f t="shared" si="10"/>
        <v>-2.7300000000000302</v>
      </c>
      <c r="B129" s="60">
        <v>0</v>
      </c>
      <c r="C129" s="70">
        <v>-2.7300000000000302</v>
      </c>
      <c r="D129" s="70">
        <v>1</v>
      </c>
      <c r="E129" s="71">
        <f t="shared" si="11"/>
        <v>-3.7264500000000824</v>
      </c>
      <c r="F129" s="72">
        <f t="shared" si="12"/>
        <v>9.6057967635387945E-3</v>
      </c>
      <c r="G129" s="70">
        <f t="shared" si="8"/>
        <v>1.0000000000000231E-2</v>
      </c>
      <c r="H129" s="60">
        <f t="shared" si="15"/>
        <v>9.6057967635390168E-5</v>
      </c>
      <c r="I129" s="60">
        <f t="shared" si="14"/>
        <v>3.1839572398145674E-3</v>
      </c>
      <c r="J129" s="60">
        <f t="shared" si="9"/>
        <v>3.1667162773575028E-3</v>
      </c>
    </row>
    <row r="130" spans="1:10" x14ac:dyDescent="0.3">
      <c r="A130" s="70">
        <f t="shared" si="10"/>
        <v>-2.7200000000000299</v>
      </c>
      <c r="B130" s="60">
        <v>0</v>
      </c>
      <c r="C130" s="70">
        <v>-2.7200000000000299</v>
      </c>
      <c r="D130" s="70">
        <v>1</v>
      </c>
      <c r="E130" s="71">
        <f t="shared" si="11"/>
        <v>-3.6992000000000815</v>
      </c>
      <c r="F130" s="72">
        <f t="shared" si="12"/>
        <v>9.8711537947503338E-3</v>
      </c>
      <c r="G130" s="70">
        <f t="shared" ref="G130:G193" si="16">C131-C130</f>
        <v>9.9999999999997868E-3</v>
      </c>
      <c r="H130" s="60">
        <f t="shared" si="15"/>
        <v>9.8711537947501239E-5</v>
      </c>
      <c r="I130" s="60">
        <f t="shared" si="14"/>
        <v>3.2826687777620686E-3</v>
      </c>
      <c r="J130" s="60">
        <f t="shared" ref="J130:J193" si="17">NORMSDIST(C130)</f>
        <v>3.264095815891013E-3</v>
      </c>
    </row>
    <row r="131" spans="1:10" x14ac:dyDescent="0.3">
      <c r="A131" s="70">
        <f t="shared" ref="A131:A194" si="18">B131+C131</f>
        <v>-2.7100000000000302</v>
      </c>
      <c r="B131" s="60">
        <v>0</v>
      </c>
      <c r="C131" s="70">
        <v>-2.7100000000000302</v>
      </c>
      <c r="D131" s="70">
        <v>1</v>
      </c>
      <c r="E131" s="71">
        <f t="shared" ref="E131:E194" si="19">-(A131-B131)*(A131-B131)/2</f>
        <v>-3.6720500000000817</v>
      </c>
      <c r="F131" s="72">
        <f t="shared" ref="F131:F194" si="20">(1/SQRT(2*PI()))*(EXP(E131))</f>
        <v>1.0142826894786249E-2</v>
      </c>
      <c r="G131" s="70">
        <f t="shared" si="16"/>
        <v>1.0000000000000231E-2</v>
      </c>
      <c r="H131" s="60">
        <f t="shared" si="15"/>
        <v>1.0142826894786484E-4</v>
      </c>
      <c r="I131" s="60">
        <f t="shared" si="14"/>
        <v>3.3840970467099336E-3</v>
      </c>
      <c r="J131" s="60">
        <f t="shared" si="17"/>
        <v>3.3641604066688875E-3</v>
      </c>
    </row>
    <row r="132" spans="1:10" x14ac:dyDescent="0.3">
      <c r="A132" s="70">
        <f t="shared" si="18"/>
        <v>-2.7000000000000299</v>
      </c>
      <c r="B132" s="60">
        <v>0</v>
      </c>
      <c r="C132" s="70">
        <v>-2.7000000000000299</v>
      </c>
      <c r="D132" s="70">
        <v>1</v>
      </c>
      <c r="E132" s="71">
        <f t="shared" si="19"/>
        <v>-3.6450000000000808</v>
      </c>
      <c r="F132" s="72">
        <f t="shared" si="20"/>
        <v>1.0420934814421754E-2</v>
      </c>
      <c r="G132" s="70">
        <f t="shared" si="16"/>
        <v>9.9999999999997868E-3</v>
      </c>
      <c r="H132" s="60">
        <f t="shared" si="15"/>
        <v>1.0420934814421531E-4</v>
      </c>
      <c r="I132" s="60">
        <f t="shared" si="14"/>
        <v>3.488306394854149E-3</v>
      </c>
      <c r="J132" s="60">
        <f t="shared" si="17"/>
        <v>3.4669738030403533E-3</v>
      </c>
    </row>
    <row r="133" spans="1:10" x14ac:dyDescent="0.3">
      <c r="A133" s="70">
        <f t="shared" si="18"/>
        <v>-2.6900000000000301</v>
      </c>
      <c r="B133" s="60">
        <v>0</v>
      </c>
      <c r="C133" s="70">
        <v>-2.6900000000000301</v>
      </c>
      <c r="D133" s="70">
        <v>1</v>
      </c>
      <c r="E133" s="71">
        <f t="shared" si="19"/>
        <v>-3.618050000000081</v>
      </c>
      <c r="F133" s="72">
        <f t="shared" si="20"/>
        <v>1.0705597609771316E-2</v>
      </c>
      <c r="G133" s="70">
        <f t="shared" si="16"/>
        <v>1.0000000000000231E-2</v>
      </c>
      <c r="H133" s="60">
        <f t="shared" si="15"/>
        <v>1.0705597609771563E-4</v>
      </c>
      <c r="I133" s="60">
        <f t="shared" ref="I133:I196" si="21">H133+I132</f>
        <v>3.5953623709518647E-3</v>
      </c>
      <c r="J133" s="60">
        <f t="shared" si="17"/>
        <v>3.5726009523994115E-3</v>
      </c>
    </row>
    <row r="134" spans="1:10" x14ac:dyDescent="0.3">
      <c r="A134" s="70">
        <f t="shared" si="18"/>
        <v>-2.6800000000000299</v>
      </c>
      <c r="B134" s="60">
        <v>0</v>
      </c>
      <c r="C134" s="70">
        <v>-2.6800000000000299</v>
      </c>
      <c r="D134" s="70">
        <v>1</v>
      </c>
      <c r="E134" s="71">
        <f t="shared" si="19"/>
        <v>-3.5912000000000801</v>
      </c>
      <c r="F134" s="72">
        <f t="shared" si="20"/>
        <v>1.0996936629404699E-2</v>
      </c>
      <c r="G134" s="70">
        <f t="shared" si="16"/>
        <v>9.9999999999997868E-3</v>
      </c>
      <c r="H134" s="60">
        <f t="shared" si="15"/>
        <v>1.0996936629404465E-4</v>
      </c>
      <c r="I134" s="60">
        <f t="shared" si="21"/>
        <v>3.7053317372459094E-3</v>
      </c>
      <c r="J134" s="60">
        <f t="shared" si="17"/>
        <v>3.6811080091746517E-3</v>
      </c>
    </row>
    <row r="135" spans="1:10" x14ac:dyDescent="0.3">
      <c r="A135" s="70">
        <f t="shared" si="18"/>
        <v>-2.6700000000000301</v>
      </c>
      <c r="B135" s="60">
        <v>0</v>
      </c>
      <c r="C135" s="70">
        <v>-2.6700000000000301</v>
      </c>
      <c r="D135" s="70">
        <v>1</v>
      </c>
      <c r="E135" s="71">
        <f t="shared" si="19"/>
        <v>-3.5644500000000803</v>
      </c>
      <c r="F135" s="72">
        <f t="shared" si="20"/>
        <v>1.1295074500455226E-2</v>
      </c>
      <c r="G135" s="70">
        <f t="shared" si="16"/>
        <v>1.0000000000000231E-2</v>
      </c>
      <c r="H135" s="60">
        <f t="shared" si="15"/>
        <v>1.1295074500455487E-4</v>
      </c>
      <c r="I135" s="60">
        <f t="shared" si="21"/>
        <v>3.8182824822504641E-3</v>
      </c>
      <c r="J135" s="60">
        <f t="shared" si="17"/>
        <v>3.7925623476851456E-3</v>
      </c>
    </row>
    <row r="136" spans="1:10" x14ac:dyDescent="0.3">
      <c r="A136" s="70">
        <f t="shared" si="18"/>
        <v>-2.6600000000000299</v>
      </c>
      <c r="B136" s="60">
        <v>0</v>
      </c>
      <c r="C136" s="70">
        <v>-2.6600000000000299</v>
      </c>
      <c r="D136" s="70">
        <v>1</v>
      </c>
      <c r="E136" s="71">
        <f t="shared" si="19"/>
        <v>-3.5378000000000793</v>
      </c>
      <c r="F136" s="72">
        <f t="shared" si="20"/>
        <v>1.1600135113701645E-2</v>
      </c>
      <c r="G136" s="70">
        <f t="shared" si="16"/>
        <v>9.9999999999997868E-3</v>
      </c>
      <c r="H136" s="60">
        <f t="shared" si="15"/>
        <v>1.1600135113701397E-4</v>
      </c>
      <c r="I136" s="60">
        <f t="shared" si="21"/>
        <v>3.9342838333874782E-3</v>
      </c>
      <c r="J136" s="60">
        <f t="shared" si="17"/>
        <v>3.9070325748524317E-3</v>
      </c>
    </row>
    <row r="137" spans="1:10" x14ac:dyDescent="0.3">
      <c r="A137" s="70">
        <f t="shared" si="18"/>
        <v>-2.6500000000000301</v>
      </c>
      <c r="B137" s="60">
        <v>0</v>
      </c>
      <c r="C137" s="70">
        <v>-2.6500000000000301</v>
      </c>
      <c r="D137" s="70">
        <v>1</v>
      </c>
      <c r="E137" s="71">
        <f t="shared" si="19"/>
        <v>-3.5112500000000799</v>
      </c>
      <c r="F137" s="72">
        <f t="shared" si="20"/>
        <v>1.1912243607604227E-2</v>
      </c>
      <c r="G137" s="70">
        <f t="shared" si="16"/>
        <v>1.0000000000000231E-2</v>
      </c>
      <c r="H137" s="60">
        <f t="shared" si="15"/>
        <v>1.1912243607604501E-4</v>
      </c>
      <c r="I137" s="60">
        <f t="shared" si="21"/>
        <v>4.0534062694635234E-3</v>
      </c>
      <c r="J137" s="60">
        <f t="shared" si="17"/>
        <v>4.0245885427579453E-3</v>
      </c>
    </row>
    <row r="138" spans="1:10" x14ac:dyDescent="0.3">
      <c r="A138" s="70">
        <f t="shared" si="18"/>
        <v>-2.6400000000000299</v>
      </c>
      <c r="B138" s="60">
        <v>0</v>
      </c>
      <c r="C138" s="70">
        <v>-2.6400000000000299</v>
      </c>
      <c r="D138" s="70">
        <v>1</v>
      </c>
      <c r="E138" s="71">
        <f t="shared" si="19"/>
        <v>-3.4848000000000789</v>
      </c>
      <c r="F138" s="72">
        <f t="shared" si="20"/>
        <v>1.2231526351277009E-2</v>
      </c>
      <c r="G138" s="70">
        <f t="shared" si="16"/>
        <v>9.9999999999997868E-3</v>
      </c>
      <c r="H138" s="60">
        <f t="shared" si="15"/>
        <v>1.2231526351276747E-4</v>
      </c>
      <c r="I138" s="60">
        <f t="shared" si="21"/>
        <v>4.175721532976291E-3</v>
      </c>
      <c r="J138" s="60">
        <f t="shared" si="17"/>
        <v>4.1453013610356707E-3</v>
      </c>
    </row>
    <row r="139" spans="1:10" x14ac:dyDescent="0.3">
      <c r="A139" s="70">
        <f t="shared" si="18"/>
        <v>-2.6300000000000301</v>
      </c>
      <c r="B139" s="60">
        <v>0</v>
      </c>
      <c r="C139" s="70">
        <v>-2.6300000000000301</v>
      </c>
      <c r="D139" s="70">
        <v>1</v>
      </c>
      <c r="E139" s="71">
        <f t="shared" si="19"/>
        <v>-3.4584500000000791</v>
      </c>
      <c r="F139" s="72">
        <f t="shared" si="20"/>
        <v>1.2558110926377212E-2</v>
      </c>
      <c r="G139" s="70">
        <f t="shared" si="16"/>
        <v>1.0000000000000231E-2</v>
      </c>
      <c r="H139" s="60">
        <f t="shared" si="15"/>
        <v>1.2558110926377502E-4</v>
      </c>
      <c r="I139" s="60">
        <f t="shared" si="21"/>
        <v>4.3013026422400657E-3</v>
      </c>
      <c r="J139" s="60">
        <f t="shared" si="17"/>
        <v>4.2692434090889709E-3</v>
      </c>
    </row>
    <row r="140" spans="1:10" x14ac:dyDescent="0.3">
      <c r="A140" s="70">
        <f t="shared" si="18"/>
        <v>-2.6200000000000299</v>
      </c>
      <c r="B140" s="60">
        <v>0</v>
      </c>
      <c r="C140" s="70">
        <v>-2.6200000000000299</v>
      </c>
      <c r="D140" s="70">
        <v>1</v>
      </c>
      <c r="E140" s="71">
        <f t="shared" si="19"/>
        <v>-3.4322000000000781</v>
      </c>
      <c r="F140" s="72">
        <f t="shared" si="20"/>
        <v>1.2892126107894301E-2</v>
      </c>
      <c r="G140" s="70">
        <f t="shared" si="16"/>
        <v>9.9999999999997868E-3</v>
      </c>
      <c r="H140" s="60">
        <f t="shared" si="15"/>
        <v>1.2892126107894025E-4</v>
      </c>
      <c r="I140" s="60">
        <f t="shared" si="21"/>
        <v>4.430223903319006E-3</v>
      </c>
      <c r="J140" s="60">
        <f t="shared" si="17"/>
        <v>4.3964883481209241E-3</v>
      </c>
    </row>
    <row r="141" spans="1:10" x14ac:dyDescent="0.3">
      <c r="A141" s="70">
        <f t="shared" si="18"/>
        <v>-2.6100000000000301</v>
      </c>
      <c r="B141" s="60">
        <v>0</v>
      </c>
      <c r="C141" s="70">
        <v>-2.6100000000000301</v>
      </c>
      <c r="D141" s="70">
        <v>1</v>
      </c>
      <c r="E141" s="71">
        <f t="shared" si="19"/>
        <v>-3.4060500000000786</v>
      </c>
      <c r="F141" s="72">
        <f t="shared" si="20"/>
        <v>1.3233701843820328E-2</v>
      </c>
      <c r="G141" s="70">
        <f t="shared" si="16"/>
        <v>1.0000000000000231E-2</v>
      </c>
      <c r="H141" s="60">
        <f t="shared" si="15"/>
        <v>1.3233701843820634E-4</v>
      </c>
      <c r="I141" s="60">
        <f t="shared" si="21"/>
        <v>4.5625609217572125E-3</v>
      </c>
      <c r="J141" s="60">
        <f t="shared" si="17"/>
        <v>4.5271111329669217E-3</v>
      </c>
    </row>
    <row r="142" spans="1:10" x14ac:dyDescent="0.3">
      <c r="A142" s="70">
        <f t="shared" si="18"/>
        <v>-2.6000000000000298</v>
      </c>
      <c r="B142" s="60">
        <v>0</v>
      </c>
      <c r="C142" s="70">
        <v>-2.6000000000000298</v>
      </c>
      <c r="D142" s="70">
        <v>1</v>
      </c>
      <c r="E142" s="71">
        <f t="shared" si="19"/>
        <v>-3.3800000000000776</v>
      </c>
      <c r="F142" s="72">
        <f t="shared" si="20"/>
        <v>1.3582969233684565E-2</v>
      </c>
      <c r="G142" s="70">
        <f t="shared" si="16"/>
        <v>9.9999999999997868E-3</v>
      </c>
      <c r="H142" s="60">
        <f t="shared" si="15"/>
        <v>1.3582969233684277E-4</v>
      </c>
      <c r="I142" s="60">
        <f t="shared" si="21"/>
        <v>4.6983906140940553E-3</v>
      </c>
      <c r="J142" s="60">
        <f t="shared" si="17"/>
        <v>4.6611880237183425E-3</v>
      </c>
    </row>
    <row r="143" spans="1:10" x14ac:dyDescent="0.3">
      <c r="A143" s="70">
        <f t="shared" si="18"/>
        <v>-2.5900000000000301</v>
      </c>
      <c r="B143" s="60">
        <v>0</v>
      </c>
      <c r="C143" s="70">
        <v>-2.5900000000000301</v>
      </c>
      <c r="D143" s="70">
        <v>1</v>
      </c>
      <c r="E143" s="71">
        <f t="shared" si="19"/>
        <v>-3.3540500000000777</v>
      </c>
      <c r="F143" s="72">
        <f t="shared" si="20"/>
        <v>1.3940060505934734E-2</v>
      </c>
      <c r="G143" s="70">
        <f t="shared" si="16"/>
        <v>1.0000000000000231E-2</v>
      </c>
      <c r="H143" s="60">
        <f t="shared" si="15"/>
        <v>1.3940060505935055E-4</v>
      </c>
      <c r="I143" s="60">
        <f t="shared" si="21"/>
        <v>4.8377912191534056E-3</v>
      </c>
      <c r="J143" s="60">
        <f t="shared" si="17"/>
        <v>4.7987965971257578E-3</v>
      </c>
    </row>
    <row r="144" spans="1:10" x14ac:dyDescent="0.3">
      <c r="A144" s="70">
        <f t="shared" si="18"/>
        <v>-2.5800000000000298</v>
      </c>
      <c r="B144" s="60">
        <v>0</v>
      </c>
      <c r="C144" s="70">
        <v>-2.5800000000000298</v>
      </c>
      <c r="D144" s="70">
        <v>1</v>
      </c>
      <c r="E144" s="71">
        <f t="shared" si="19"/>
        <v>-3.3282000000000771</v>
      </c>
      <c r="F144" s="72">
        <f t="shared" si="20"/>
        <v>1.4305108994148592E-2</v>
      </c>
      <c r="G144" s="70">
        <f t="shared" si="16"/>
        <v>9.9999999999997868E-3</v>
      </c>
      <c r="H144" s="60">
        <f t="shared" si="15"/>
        <v>1.4305108994148286E-4</v>
      </c>
      <c r="I144" s="60">
        <f t="shared" si="21"/>
        <v>4.9808423090948887E-3</v>
      </c>
      <c r="J144" s="60">
        <f t="shared" si="17"/>
        <v>4.940015757770218E-3</v>
      </c>
    </row>
    <row r="145" spans="1:10" x14ac:dyDescent="0.3">
      <c r="A145" s="70">
        <f t="shared" si="18"/>
        <v>-2.57000000000003</v>
      </c>
      <c r="B145" s="60">
        <v>0</v>
      </c>
      <c r="C145" s="70">
        <v>-2.57000000000003</v>
      </c>
      <c r="D145" s="70">
        <v>1</v>
      </c>
      <c r="E145" s="71">
        <f t="shared" si="19"/>
        <v>-3.3024500000000772</v>
      </c>
      <c r="F145" s="72">
        <f t="shared" si="20"/>
        <v>1.4678249112058905E-2</v>
      </c>
      <c r="G145" s="70">
        <f t="shared" si="16"/>
        <v>1.0000000000000231E-2</v>
      </c>
      <c r="H145" s="60">
        <f t="shared" si="15"/>
        <v>1.4678249112059244E-4</v>
      </c>
      <c r="I145" s="60">
        <f t="shared" si="21"/>
        <v>5.1276248002154814E-3</v>
      </c>
      <c r="J145" s="60">
        <f t="shared" si="17"/>
        <v>5.0849257489905949E-3</v>
      </c>
    </row>
    <row r="146" spans="1:10" x14ac:dyDescent="0.3">
      <c r="A146" s="70">
        <f t="shared" si="18"/>
        <v>-2.5600000000000298</v>
      </c>
      <c r="B146" s="60">
        <v>0</v>
      </c>
      <c r="C146" s="70">
        <v>-2.5600000000000298</v>
      </c>
      <c r="D146" s="70">
        <v>1</v>
      </c>
      <c r="E146" s="71">
        <f t="shared" si="19"/>
        <v>-3.2768000000000761</v>
      </c>
      <c r="F146" s="72">
        <f t="shared" si="20"/>
        <v>1.5059616327376306E-2</v>
      </c>
      <c r="G146" s="70">
        <f t="shared" si="16"/>
        <v>9.9999999999997868E-3</v>
      </c>
      <c r="H146" s="60">
        <f t="shared" si="15"/>
        <v>1.5059616327375985E-4</v>
      </c>
      <c r="I146" s="60">
        <f t="shared" si="21"/>
        <v>5.2782209634892416E-3</v>
      </c>
      <c r="J146" s="60">
        <f t="shared" si="17"/>
        <v>5.2336081635553392E-3</v>
      </c>
    </row>
    <row r="147" spans="1:10" x14ac:dyDescent="0.3">
      <c r="A147" s="70">
        <f t="shared" si="18"/>
        <v>-2.55000000000003</v>
      </c>
      <c r="B147" s="60">
        <v>0</v>
      </c>
      <c r="C147" s="70">
        <v>-2.55000000000003</v>
      </c>
      <c r="D147" s="70">
        <v>1</v>
      </c>
      <c r="E147" s="71">
        <f t="shared" si="19"/>
        <v>-3.2512500000000766</v>
      </c>
      <c r="F147" s="72">
        <f t="shared" si="20"/>
        <v>1.5449347134393989E-2</v>
      </c>
      <c r="G147" s="70">
        <f t="shared" si="16"/>
        <v>1.0000000000000231E-2</v>
      </c>
      <c r="H147" s="60">
        <f t="shared" si="15"/>
        <v>1.5449347134394346E-4</v>
      </c>
      <c r="I147" s="60">
        <f t="shared" si="21"/>
        <v>5.432714434833185E-3</v>
      </c>
      <c r="J147" s="60">
        <f t="shared" si="17"/>
        <v>5.3861459540662212E-3</v>
      </c>
    </row>
    <row r="148" spans="1:10" x14ac:dyDescent="0.3">
      <c r="A148" s="70">
        <f t="shared" si="18"/>
        <v>-2.5400000000000298</v>
      </c>
      <c r="B148" s="60">
        <v>0</v>
      </c>
      <c r="C148" s="70">
        <v>-2.5400000000000298</v>
      </c>
      <c r="D148" s="70">
        <v>1</v>
      </c>
      <c r="E148" s="71">
        <f t="shared" si="19"/>
        <v>-3.2258000000000755</v>
      </c>
      <c r="F148" s="72">
        <f t="shared" si="20"/>
        <v>1.5847579025359621E-2</v>
      </c>
      <c r="G148" s="70">
        <f t="shared" si="16"/>
        <v>9.9999999999997868E-3</v>
      </c>
      <c r="H148" s="60">
        <f t="shared" si="15"/>
        <v>1.5847579025359283E-4</v>
      </c>
      <c r="I148" s="60">
        <f t="shared" si="21"/>
        <v>5.5911902250867776E-3</v>
      </c>
      <c r="J148" s="60">
        <f t="shared" si="17"/>
        <v>5.5426234430821283E-3</v>
      </c>
    </row>
    <row r="149" spans="1:10" x14ac:dyDescent="0.3">
      <c r="A149" s="70">
        <f t="shared" si="18"/>
        <v>-2.53000000000003</v>
      </c>
      <c r="B149" s="60">
        <v>0</v>
      </c>
      <c r="C149" s="70">
        <v>-2.53000000000003</v>
      </c>
      <c r="D149" s="70">
        <v>1</v>
      </c>
      <c r="E149" s="71">
        <f t="shared" si="19"/>
        <v>-3.200450000000076</v>
      </c>
      <c r="F149" s="72">
        <f t="shared" si="20"/>
        <v>1.6254450460599264E-2</v>
      </c>
      <c r="G149" s="70">
        <f t="shared" si="16"/>
        <v>9.9999999999997868E-3</v>
      </c>
      <c r="H149" s="60">
        <f t="shared" si="15"/>
        <v>1.6254450460598916E-4</v>
      </c>
      <c r="I149" s="60">
        <f t="shared" si="21"/>
        <v>5.7537347296927671E-3</v>
      </c>
      <c r="J149" s="60">
        <f t="shared" si="17"/>
        <v>5.7031263329502075E-3</v>
      </c>
    </row>
    <row r="150" spans="1:10" x14ac:dyDescent="0.3">
      <c r="A150" s="70">
        <f t="shared" si="18"/>
        <v>-2.5200000000000302</v>
      </c>
      <c r="B150" s="60">
        <v>0</v>
      </c>
      <c r="C150" s="70">
        <v>-2.5200000000000302</v>
      </c>
      <c r="D150" s="70">
        <v>1</v>
      </c>
      <c r="E150" s="71">
        <f t="shared" si="19"/>
        <v>-3.1752000000000762</v>
      </c>
      <c r="F150" s="72">
        <f t="shared" si="20"/>
        <v>1.6670100837379791E-2</v>
      </c>
      <c r="G150" s="70">
        <f t="shared" si="16"/>
        <v>1.0000000000000231E-2</v>
      </c>
      <c r="H150" s="60">
        <f t="shared" si="15"/>
        <v>1.6670100837380176E-4</v>
      </c>
      <c r="I150" s="60">
        <f t="shared" si="21"/>
        <v>5.9204357380665687E-3</v>
      </c>
      <c r="J150" s="60">
        <f t="shared" si="17"/>
        <v>5.867741715332055E-3</v>
      </c>
    </row>
    <row r="151" spans="1:10" x14ac:dyDescent="0.3">
      <c r="A151" s="70">
        <f t="shared" si="18"/>
        <v>-2.51000000000003</v>
      </c>
      <c r="B151" s="60">
        <v>0</v>
      </c>
      <c r="C151" s="70">
        <v>-2.51000000000003</v>
      </c>
      <c r="D151" s="70">
        <v>1</v>
      </c>
      <c r="E151" s="71">
        <f t="shared" si="19"/>
        <v>-3.1500500000000753</v>
      </c>
      <c r="F151" s="72">
        <f t="shared" si="20"/>
        <v>1.7094670457495655E-2</v>
      </c>
      <c r="G151" s="70">
        <f t="shared" si="16"/>
        <v>9.9999999999997868E-3</v>
      </c>
      <c r="H151" s="60">
        <f t="shared" si="15"/>
        <v>1.7094670457495291E-4</v>
      </c>
      <c r="I151" s="60">
        <f t="shared" si="21"/>
        <v>6.0913824426415217E-3</v>
      </c>
      <c r="J151" s="60">
        <f t="shared" si="17"/>
        <v>6.0365580804121405E-3</v>
      </c>
    </row>
    <row r="152" spans="1:10" x14ac:dyDescent="0.3">
      <c r="A152" s="70">
        <f t="shared" si="18"/>
        <v>-2.5000000000000302</v>
      </c>
      <c r="B152" s="60">
        <v>0</v>
      </c>
      <c r="C152" s="70">
        <v>-2.5000000000000302</v>
      </c>
      <c r="D152" s="70">
        <v>1</v>
      </c>
      <c r="E152" s="71">
        <f t="shared" si="19"/>
        <v>-3.1250000000000755</v>
      </c>
      <c r="F152" s="72">
        <f t="shared" si="20"/>
        <v>1.7528300493567215E-2</v>
      </c>
      <c r="G152" s="70">
        <f t="shared" si="16"/>
        <v>1.0000000000000231E-2</v>
      </c>
      <c r="H152" s="60">
        <f t="shared" si="15"/>
        <v>1.752830049356762E-4</v>
      </c>
      <c r="I152" s="60">
        <f t="shared" si="21"/>
        <v>6.2666654475771978E-3</v>
      </c>
      <c r="J152" s="60">
        <f t="shared" si="17"/>
        <v>6.2096653257756066E-3</v>
      </c>
    </row>
    <row r="153" spans="1:10" x14ac:dyDescent="0.3">
      <c r="A153" s="70">
        <f t="shared" si="18"/>
        <v>-2.49000000000003</v>
      </c>
      <c r="B153" s="60">
        <v>0</v>
      </c>
      <c r="C153" s="70">
        <v>-2.49000000000003</v>
      </c>
      <c r="D153" s="70">
        <v>1</v>
      </c>
      <c r="E153" s="71">
        <f t="shared" si="19"/>
        <v>-3.1000500000000746</v>
      </c>
      <c r="F153" s="72">
        <f t="shared" si="20"/>
        <v>1.7971132954038297E-2</v>
      </c>
      <c r="G153" s="70">
        <f t="shared" si="16"/>
        <v>9.9999999999997868E-3</v>
      </c>
      <c r="H153" s="60">
        <f t="shared" si="15"/>
        <v>1.7971132954037913E-4</v>
      </c>
      <c r="I153" s="60">
        <f t="shared" si="21"/>
        <v>6.4463767771175771E-3</v>
      </c>
      <c r="J153" s="60">
        <f t="shared" si="17"/>
        <v>6.3871547649426352E-3</v>
      </c>
    </row>
    <row r="154" spans="1:10" x14ac:dyDescent="0.3">
      <c r="A154" s="70">
        <f t="shared" si="18"/>
        <v>-2.4800000000000302</v>
      </c>
      <c r="B154" s="60">
        <v>0</v>
      </c>
      <c r="C154" s="70">
        <v>-2.4800000000000302</v>
      </c>
      <c r="D154" s="70">
        <v>1</v>
      </c>
      <c r="E154" s="71">
        <f t="shared" si="19"/>
        <v>-3.0752000000000748</v>
      </c>
      <c r="F154" s="72">
        <f t="shared" si="20"/>
        <v>1.8423310646860671E-2</v>
      </c>
      <c r="G154" s="70">
        <f t="shared" si="16"/>
        <v>1.0000000000000231E-2</v>
      </c>
      <c r="H154" s="60">
        <f t="shared" si="15"/>
        <v>1.8423310646861096E-4</v>
      </c>
      <c r="I154" s="60">
        <f t="shared" si="21"/>
        <v>6.6306098835861877E-3</v>
      </c>
      <c r="J154" s="60">
        <f t="shared" si="17"/>
        <v>6.5691191355462019E-3</v>
      </c>
    </row>
    <row r="155" spans="1:10" x14ac:dyDescent="0.3">
      <c r="A155" s="70">
        <f t="shared" si="18"/>
        <v>-2.4700000000000299</v>
      </c>
      <c r="B155" s="60">
        <v>0</v>
      </c>
      <c r="C155" s="70">
        <v>-2.4700000000000299</v>
      </c>
      <c r="D155" s="70">
        <v>1</v>
      </c>
      <c r="E155" s="71">
        <f t="shared" si="19"/>
        <v>-3.0504500000000738</v>
      </c>
      <c r="F155" s="72">
        <f t="shared" si="20"/>
        <v>1.8884977141854779E-2</v>
      </c>
      <c r="G155" s="70">
        <f t="shared" si="16"/>
        <v>9.9999999999997868E-3</v>
      </c>
      <c r="H155" s="60">
        <f t="shared" si="15"/>
        <v>1.8884977141854376E-4</v>
      </c>
      <c r="I155" s="60">
        <f t="shared" si="21"/>
        <v>6.8194596550047318E-3</v>
      </c>
      <c r="J155" s="60">
        <f t="shared" si="17"/>
        <v>6.7556526071400821E-3</v>
      </c>
    </row>
    <row r="156" spans="1:10" x14ac:dyDescent="0.3">
      <c r="A156" s="70">
        <f t="shared" si="18"/>
        <v>-2.4600000000000302</v>
      </c>
      <c r="B156" s="60">
        <v>0</v>
      </c>
      <c r="C156" s="70">
        <v>-2.4600000000000302</v>
      </c>
      <c r="D156" s="70">
        <v>1</v>
      </c>
      <c r="E156" s="71">
        <f t="shared" si="19"/>
        <v>-3.025800000000074</v>
      </c>
      <c r="F156" s="72">
        <f t="shared" si="20"/>
        <v>1.9356276731735528E-2</v>
      </c>
      <c r="G156" s="70">
        <f t="shared" si="16"/>
        <v>1.0000000000000231E-2</v>
      </c>
      <c r="H156" s="60">
        <f t="shared" si="15"/>
        <v>1.9356276731735976E-4</v>
      </c>
      <c r="I156" s="60">
        <f t="shared" si="21"/>
        <v>7.0130224223220912E-3</v>
      </c>
      <c r="J156" s="60">
        <f t="shared" si="17"/>
        <v>6.9468507886237263E-3</v>
      </c>
    </row>
    <row r="157" spans="1:10" x14ac:dyDescent="0.3">
      <c r="A157" s="70">
        <f t="shared" si="18"/>
        <v>-2.4500000000000299</v>
      </c>
      <c r="B157" s="60">
        <v>0</v>
      </c>
      <c r="C157" s="70">
        <v>-2.4500000000000299</v>
      </c>
      <c r="D157" s="70">
        <v>1</v>
      </c>
      <c r="E157" s="71">
        <f t="shared" si="19"/>
        <v>-3.0012500000000735</v>
      </c>
      <c r="F157" s="72">
        <f t="shared" si="20"/>
        <v>1.9837354391793866E-2</v>
      </c>
      <c r="G157" s="70">
        <f t="shared" si="16"/>
        <v>9.9999999999997868E-3</v>
      </c>
      <c r="H157" s="60">
        <f t="shared" si="15"/>
        <v>1.9837354391793443E-4</v>
      </c>
      <c r="I157" s="60">
        <f t="shared" si="21"/>
        <v>7.2113959662400253E-3</v>
      </c>
      <c r="J157" s="60">
        <f t="shared" si="17"/>
        <v>7.1428107352708254E-3</v>
      </c>
    </row>
    <row r="158" spans="1:10" x14ac:dyDescent="0.3">
      <c r="A158" s="70">
        <f t="shared" si="18"/>
        <v>-2.4400000000000301</v>
      </c>
      <c r="B158" s="60">
        <v>0</v>
      </c>
      <c r="C158" s="70">
        <v>-2.4400000000000301</v>
      </c>
      <c r="D158" s="70">
        <v>1</v>
      </c>
      <c r="E158" s="71">
        <f t="shared" si="19"/>
        <v>-2.9768000000000736</v>
      </c>
      <c r="F158" s="72">
        <f t="shared" si="20"/>
        <v>2.0328355738224339E-2</v>
      </c>
      <c r="G158" s="70">
        <f t="shared" si="16"/>
        <v>1.0000000000000231E-2</v>
      </c>
      <c r="H158" s="60">
        <f t="shared" si="15"/>
        <v>2.0328355738224809E-4</v>
      </c>
      <c r="I158" s="60">
        <f t="shared" si="21"/>
        <v>7.4146795236222736E-3</v>
      </c>
      <c r="J158" s="60">
        <f t="shared" si="17"/>
        <v>7.3436309553477292E-3</v>
      </c>
    </row>
    <row r="159" spans="1:10" x14ac:dyDescent="0.3">
      <c r="A159" s="70">
        <f t="shared" si="18"/>
        <v>-2.4300000000000299</v>
      </c>
      <c r="B159" s="60">
        <v>0</v>
      </c>
      <c r="C159" s="70">
        <v>-2.4300000000000299</v>
      </c>
      <c r="D159" s="70">
        <v>1</v>
      </c>
      <c r="E159" s="71">
        <f t="shared" si="19"/>
        <v>-2.9524500000000726</v>
      </c>
      <c r="F159" s="72">
        <f t="shared" si="20"/>
        <v>2.0829426985090681E-2</v>
      </c>
      <c r="G159" s="70">
        <f t="shared" si="16"/>
        <v>9.9999999999997868E-3</v>
      </c>
      <c r="H159" s="60">
        <f t="shared" si="15"/>
        <v>2.0829426985090237E-4</v>
      </c>
      <c r="I159" s="60">
        <f t="shared" si="21"/>
        <v>7.622973793473176E-3</v>
      </c>
      <c r="J159" s="60">
        <f t="shared" si="17"/>
        <v>7.5494114163085855E-3</v>
      </c>
    </row>
    <row r="160" spans="1:10" x14ac:dyDescent="0.3">
      <c r="A160" s="70">
        <f t="shared" si="18"/>
        <v>-2.4200000000000301</v>
      </c>
      <c r="B160" s="60">
        <v>0</v>
      </c>
      <c r="C160" s="70">
        <v>-2.4200000000000301</v>
      </c>
      <c r="D160" s="70">
        <v>1</v>
      </c>
      <c r="E160" s="71">
        <f t="shared" si="19"/>
        <v>-2.9282000000000727</v>
      </c>
      <c r="F160" s="72">
        <f t="shared" si="20"/>
        <v>2.1340714899921231E-2</v>
      </c>
      <c r="G160" s="70">
        <f t="shared" si="16"/>
        <v>1.0000000000000231E-2</v>
      </c>
      <c r="H160" s="60">
        <f t="shared" si="15"/>
        <v>2.1340714899921725E-4</v>
      </c>
      <c r="I160" s="60">
        <f t="shared" si="21"/>
        <v>7.836380942472394E-3</v>
      </c>
      <c r="J160" s="60">
        <f t="shared" si="17"/>
        <v>7.7602535505529964E-3</v>
      </c>
    </row>
    <row r="161" spans="1:10" x14ac:dyDescent="0.3">
      <c r="A161" s="70">
        <f t="shared" si="18"/>
        <v>-2.4100000000000299</v>
      </c>
      <c r="B161" s="60">
        <v>0</v>
      </c>
      <c r="C161" s="70">
        <v>-2.4100000000000299</v>
      </c>
      <c r="D161" s="70">
        <v>1</v>
      </c>
      <c r="E161" s="71">
        <f t="shared" si="19"/>
        <v>-2.9040500000000722</v>
      </c>
      <c r="F161" s="72">
        <f t="shared" si="20"/>
        <v>2.1862366757927812E-2</v>
      </c>
      <c r="G161" s="70">
        <f t="shared" si="16"/>
        <v>9.9999999999997868E-3</v>
      </c>
      <c r="H161" s="60">
        <f t="shared" si="15"/>
        <v>2.1862366757927345E-4</v>
      </c>
      <c r="I161" s="60">
        <f t="shared" si="21"/>
        <v>8.0550046100516682E-3</v>
      </c>
      <c r="J161" s="60">
        <f t="shared" si="17"/>
        <v>7.9762602607330712E-3</v>
      </c>
    </row>
    <row r="162" spans="1:10" x14ac:dyDescent="0.3">
      <c r="A162" s="70">
        <f t="shared" si="18"/>
        <v>-2.4000000000000301</v>
      </c>
      <c r="B162" s="60">
        <v>0</v>
      </c>
      <c r="C162" s="70">
        <v>-2.4000000000000301</v>
      </c>
      <c r="D162" s="70">
        <v>1</v>
      </c>
      <c r="E162" s="71">
        <f t="shared" si="19"/>
        <v>-2.8800000000000723</v>
      </c>
      <c r="F162" s="72">
        <f t="shared" si="20"/>
        <v>2.2394530294841279E-2</v>
      </c>
      <c r="G162" s="70">
        <f t="shared" si="16"/>
        <v>1.0000000000000231E-2</v>
      </c>
      <c r="H162" s="60">
        <f t="shared" si="15"/>
        <v>2.2394530294841795E-4</v>
      </c>
      <c r="I162" s="60">
        <f t="shared" si="21"/>
        <v>8.278949913000086E-3</v>
      </c>
      <c r="J162" s="60">
        <f t="shared" si="17"/>
        <v>8.1975359245954529E-3</v>
      </c>
    </row>
    <row r="163" spans="1:10" x14ac:dyDescent="0.3">
      <c r="A163" s="70">
        <f t="shared" si="18"/>
        <v>-2.3900000000000299</v>
      </c>
      <c r="B163" s="60">
        <v>0</v>
      </c>
      <c r="C163" s="70">
        <v>-2.3900000000000299</v>
      </c>
      <c r="D163" s="70">
        <v>1</v>
      </c>
      <c r="E163" s="71">
        <f t="shared" si="19"/>
        <v>-2.8560500000000713</v>
      </c>
      <c r="F163" s="72">
        <f t="shared" si="20"/>
        <v>2.2937353658359066E-2</v>
      </c>
      <c r="G163" s="70">
        <f t="shared" si="16"/>
        <v>9.9999999999997868E-3</v>
      </c>
      <c r="H163" s="60">
        <f t="shared" si="15"/>
        <v>2.2937353658358578E-4</v>
      </c>
      <c r="I163" s="60">
        <f t="shared" si="21"/>
        <v>8.5083234495836723E-3</v>
      </c>
      <c r="J163" s="60">
        <f t="shared" si="17"/>
        <v>8.4241863993450034E-3</v>
      </c>
    </row>
    <row r="164" spans="1:10" x14ac:dyDescent="0.3">
      <c r="A164" s="70">
        <f t="shared" si="18"/>
        <v>-2.3800000000000301</v>
      </c>
      <c r="B164" s="60">
        <v>0</v>
      </c>
      <c r="C164" s="70">
        <v>-2.3800000000000301</v>
      </c>
      <c r="D164" s="70">
        <v>1</v>
      </c>
      <c r="E164" s="71">
        <f t="shared" si="19"/>
        <v>-2.8322000000000718</v>
      </c>
      <c r="F164" s="72">
        <f t="shared" si="20"/>
        <v>2.3490985358199677E-2</v>
      </c>
      <c r="G164" s="70">
        <f t="shared" si="16"/>
        <v>1.0000000000000231E-2</v>
      </c>
      <c r="H164" s="60">
        <f t="shared" si="15"/>
        <v>2.349098535820022E-4</v>
      </c>
      <c r="I164" s="60">
        <f t="shared" si="21"/>
        <v>8.7432333031656744E-3</v>
      </c>
      <c r="J164" s="60">
        <f t="shared" si="17"/>
        <v>8.6563190255158334E-3</v>
      </c>
    </row>
    <row r="165" spans="1:10" x14ac:dyDescent="0.3">
      <c r="A165" s="70">
        <f t="shared" si="18"/>
        <v>-2.3700000000000299</v>
      </c>
      <c r="B165" s="60">
        <v>0</v>
      </c>
      <c r="C165" s="70">
        <v>-2.3700000000000299</v>
      </c>
      <c r="D165" s="70">
        <v>1</v>
      </c>
      <c r="E165" s="71">
        <f t="shared" si="19"/>
        <v>-2.8084500000000707</v>
      </c>
      <c r="F165" s="72">
        <f t="shared" si="20"/>
        <v>2.4055574214761271E-2</v>
      </c>
      <c r="G165" s="70">
        <f t="shared" si="16"/>
        <v>9.9999999999997868E-3</v>
      </c>
      <c r="H165" s="60">
        <f t="shared" si="15"/>
        <v>2.4055574214760757E-4</v>
      </c>
      <c r="I165" s="60">
        <f t="shared" si="21"/>
        <v>8.9837890453132816E-3</v>
      </c>
      <c r="J165" s="60">
        <f t="shared" si="17"/>
        <v>8.8940426303360572E-3</v>
      </c>
    </row>
    <row r="166" spans="1:10" x14ac:dyDescent="0.3">
      <c r="A166" s="70">
        <f t="shared" si="18"/>
        <v>-2.3600000000000301</v>
      </c>
      <c r="B166" s="60">
        <v>0</v>
      </c>
      <c r="C166" s="70">
        <v>-2.3600000000000301</v>
      </c>
      <c r="D166" s="70">
        <v>1</v>
      </c>
      <c r="E166" s="71">
        <f t="shared" si="19"/>
        <v>-2.7848000000000708</v>
      </c>
      <c r="F166" s="72">
        <f t="shared" si="20"/>
        <v>2.4631269306380758E-2</v>
      </c>
      <c r="G166" s="70">
        <f t="shared" si="16"/>
        <v>9.9999999999900169E-3</v>
      </c>
      <c r="H166" s="60">
        <f t="shared" si="15"/>
        <v>2.4631269306356167E-4</v>
      </c>
      <c r="I166" s="60">
        <f t="shared" si="21"/>
        <v>9.2301017383768433E-3</v>
      </c>
      <c r="J166" s="60">
        <f t="shared" si="17"/>
        <v>9.13746753057193E-3</v>
      </c>
    </row>
    <row r="167" spans="1:10" x14ac:dyDescent="0.3">
      <c r="A167" s="70">
        <f t="shared" si="18"/>
        <v>-2.3500000000000401</v>
      </c>
      <c r="B167" s="60">
        <v>0</v>
      </c>
      <c r="C167" s="70">
        <v>-2.3500000000000401</v>
      </c>
      <c r="D167" s="70">
        <v>1</v>
      </c>
      <c r="E167" s="71">
        <f t="shared" si="19"/>
        <v>-2.7612500000000941</v>
      </c>
      <c r="F167" s="72">
        <f t="shared" si="20"/>
        <v>2.5218219915192019E-2</v>
      </c>
      <c r="G167" s="70">
        <f t="shared" si="16"/>
        <v>1.0000000000000231E-2</v>
      </c>
      <c r="H167" s="60">
        <f t="shared" si="15"/>
        <v>2.5218219915192601E-4</v>
      </c>
      <c r="I167" s="60">
        <f t="shared" si="21"/>
        <v>9.4822839375287692E-3</v>
      </c>
      <c r="J167" s="60">
        <f t="shared" si="17"/>
        <v>9.3867055348375635E-3</v>
      </c>
    </row>
    <row r="168" spans="1:10" x14ac:dyDescent="0.3">
      <c r="A168" s="70">
        <f t="shared" si="18"/>
        <v>-2.3400000000000398</v>
      </c>
      <c r="B168" s="60">
        <v>0</v>
      </c>
      <c r="C168" s="70">
        <v>-2.3400000000000398</v>
      </c>
      <c r="D168" s="70">
        <v>1</v>
      </c>
      <c r="E168" s="71">
        <f t="shared" si="19"/>
        <v>-2.7378000000000933</v>
      </c>
      <c r="F168" s="72">
        <f t="shared" si="20"/>
        <v>2.5816575471585276E-2</v>
      </c>
      <c r="G168" s="70">
        <f t="shared" si="16"/>
        <v>9.9999999999997868E-3</v>
      </c>
      <c r="H168" s="60">
        <f t="shared" si="15"/>
        <v>2.5816575471584725E-4</v>
      </c>
      <c r="I168" s="60">
        <f t="shared" si="21"/>
        <v>9.7404496922446158E-3</v>
      </c>
      <c r="J168" s="60">
        <f t="shared" si="17"/>
        <v>9.6418699453573054E-3</v>
      </c>
    </row>
    <row r="169" spans="1:10" x14ac:dyDescent="0.3">
      <c r="A169" s="70">
        <f t="shared" si="18"/>
        <v>-2.33000000000004</v>
      </c>
      <c r="B169" s="60">
        <v>0</v>
      </c>
      <c r="C169" s="70">
        <v>-2.33000000000004</v>
      </c>
      <c r="D169" s="70">
        <v>1</v>
      </c>
      <c r="E169" s="71">
        <f t="shared" si="19"/>
        <v>-2.7144500000000935</v>
      </c>
      <c r="F169" s="72">
        <f t="shared" si="20"/>
        <v>2.6426485497259258E-2</v>
      </c>
      <c r="G169" s="70">
        <f t="shared" si="16"/>
        <v>1.0000000000000231E-2</v>
      </c>
      <c r="H169" s="60">
        <f t="shared" si="15"/>
        <v>2.6426485497259869E-4</v>
      </c>
      <c r="I169" s="60">
        <f t="shared" si="21"/>
        <v>1.0004714547217214E-2</v>
      </c>
      <c r="J169" s="60">
        <f t="shared" si="17"/>
        <v>9.9030755591631887E-3</v>
      </c>
    </row>
    <row r="170" spans="1:10" x14ac:dyDescent="0.3">
      <c r="A170" s="70">
        <f t="shared" si="18"/>
        <v>-2.3200000000000398</v>
      </c>
      <c r="B170" s="60">
        <v>0</v>
      </c>
      <c r="C170" s="70">
        <v>-2.3200000000000398</v>
      </c>
      <c r="D170" s="70">
        <v>1</v>
      </c>
      <c r="E170" s="71">
        <f t="shared" si="19"/>
        <v>-2.6912000000000922</v>
      </c>
      <c r="F170" s="72">
        <f t="shared" si="20"/>
        <v>2.7048099546879287E-2</v>
      </c>
      <c r="G170" s="70">
        <f t="shared" si="16"/>
        <v>9.9999999999997868E-3</v>
      </c>
      <c r="H170" s="60">
        <f t="shared" si="15"/>
        <v>2.7048099546878713E-4</v>
      </c>
      <c r="I170" s="60">
        <f t="shared" si="21"/>
        <v>1.0275195542686001E-2</v>
      </c>
      <c r="J170" s="60">
        <f t="shared" si="17"/>
        <v>1.01704386687186E-2</v>
      </c>
    </row>
    <row r="171" spans="1:10" x14ac:dyDescent="0.3">
      <c r="A171" s="70">
        <f t="shared" si="18"/>
        <v>-2.31000000000004</v>
      </c>
      <c r="B171" s="60">
        <v>0</v>
      </c>
      <c r="C171" s="70">
        <v>-2.31000000000004</v>
      </c>
      <c r="D171" s="70">
        <v>1</v>
      </c>
      <c r="E171" s="71">
        <f t="shared" si="19"/>
        <v>-2.6680500000000924</v>
      </c>
      <c r="F171" s="72">
        <f t="shared" si="20"/>
        <v>2.7681567148334012E-2</v>
      </c>
      <c r="G171" s="70">
        <f t="shared" si="16"/>
        <v>1.0000000000000231E-2</v>
      </c>
      <c r="H171" s="60">
        <f t="shared" si="15"/>
        <v>2.7681567148334649E-4</v>
      </c>
      <c r="I171" s="60">
        <f t="shared" si="21"/>
        <v>1.0552011214169347E-2</v>
      </c>
      <c r="J171" s="60">
        <f t="shared" si="17"/>
        <v>1.0444077061949978E-2</v>
      </c>
    </row>
    <row r="172" spans="1:10" x14ac:dyDescent="0.3">
      <c r="A172" s="70">
        <f t="shared" si="18"/>
        <v>-2.3000000000000398</v>
      </c>
      <c r="B172" s="60">
        <v>0</v>
      </c>
      <c r="C172" s="70">
        <v>-2.3000000000000398</v>
      </c>
      <c r="D172" s="70">
        <v>1</v>
      </c>
      <c r="E172" s="71">
        <f t="shared" si="19"/>
        <v>-2.6450000000000915</v>
      </c>
      <c r="F172" s="72">
        <f t="shared" si="20"/>
        <v>2.8327037741598581E-2</v>
      </c>
      <c r="G172" s="70">
        <f t="shared" si="16"/>
        <v>9.9999999999997868E-3</v>
      </c>
      <c r="H172" s="60">
        <f t="shared" si="15"/>
        <v>2.8327037741597978E-4</v>
      </c>
      <c r="I172" s="60">
        <f t="shared" si="21"/>
        <v>1.0835281591585326E-2</v>
      </c>
      <c r="J172" s="60">
        <f t="shared" si="17"/>
        <v>1.0724110021674669E-2</v>
      </c>
    </row>
    <row r="173" spans="1:10" x14ac:dyDescent="0.3">
      <c r="A173" s="70">
        <f t="shared" si="18"/>
        <v>-2.29000000000004</v>
      </c>
      <c r="B173" s="60">
        <v>0</v>
      </c>
      <c r="C173" s="70">
        <v>-2.29000000000004</v>
      </c>
      <c r="D173" s="70">
        <v>1</v>
      </c>
      <c r="E173" s="71">
        <f t="shared" si="19"/>
        <v>-2.6220500000000917</v>
      </c>
      <c r="F173" s="72">
        <f t="shared" si="20"/>
        <v>2.8984660616206762E-2</v>
      </c>
      <c r="G173" s="70">
        <f t="shared" si="16"/>
        <v>9.9999999999997868E-3</v>
      </c>
      <c r="H173" s="60">
        <f t="shared" si="15"/>
        <v>2.8984660616206143E-4</v>
      </c>
      <c r="I173" s="60">
        <f t="shared" si="21"/>
        <v>1.1125128197747388E-2</v>
      </c>
      <c r="J173" s="60">
        <f t="shared" si="17"/>
        <v>1.1010658324410224E-2</v>
      </c>
    </row>
    <row r="174" spans="1:10" x14ac:dyDescent="0.3">
      <c r="A174" s="70">
        <f t="shared" si="18"/>
        <v>-2.2800000000000402</v>
      </c>
      <c r="B174" s="60">
        <v>0</v>
      </c>
      <c r="C174" s="70">
        <v>-2.2800000000000402</v>
      </c>
      <c r="D174" s="70">
        <v>1</v>
      </c>
      <c r="E174" s="71">
        <f t="shared" si="19"/>
        <v>-2.5992000000000917</v>
      </c>
      <c r="F174" s="72">
        <f t="shared" si="20"/>
        <v>2.9654584847338555E-2</v>
      </c>
      <c r="G174" s="70">
        <f t="shared" si="16"/>
        <v>1.0000000000000231E-2</v>
      </c>
      <c r="H174" s="60">
        <f t="shared" si="15"/>
        <v>2.965458484733924E-4</v>
      </c>
      <c r="I174" s="60">
        <f t="shared" si="21"/>
        <v>1.142167404622078E-2</v>
      </c>
      <c r="J174" s="60">
        <f t="shared" si="17"/>
        <v>1.1303844238551597E-2</v>
      </c>
    </row>
    <row r="175" spans="1:10" x14ac:dyDescent="0.3">
      <c r="A175" s="70">
        <f t="shared" si="18"/>
        <v>-2.27000000000004</v>
      </c>
      <c r="B175" s="60">
        <v>0</v>
      </c>
      <c r="C175" s="70">
        <v>-2.27000000000004</v>
      </c>
      <c r="D175" s="70">
        <v>1</v>
      </c>
      <c r="E175" s="71">
        <f t="shared" si="19"/>
        <v>-2.5764500000000909</v>
      </c>
      <c r="F175" s="72">
        <f t="shared" si="20"/>
        <v>3.0336959230528874E-2</v>
      </c>
      <c r="G175" s="70">
        <f t="shared" si="16"/>
        <v>9.9999999999997868E-3</v>
      </c>
      <c r="H175" s="60">
        <f t="shared" si="15"/>
        <v>3.033695923052823E-4</v>
      </c>
      <c r="I175" s="60">
        <f t="shared" si="21"/>
        <v>1.1725043638526063E-2</v>
      </c>
      <c r="J175" s="60">
        <f t="shared" si="17"/>
        <v>1.1603791521902313E-2</v>
      </c>
    </row>
    <row r="176" spans="1:10" x14ac:dyDescent="0.3">
      <c r="A176" s="70">
        <f t="shared" si="18"/>
        <v>-2.2600000000000402</v>
      </c>
      <c r="B176" s="60">
        <v>0</v>
      </c>
      <c r="C176" s="70">
        <v>-2.2600000000000402</v>
      </c>
      <c r="D176" s="70">
        <v>1</v>
      </c>
      <c r="E176" s="71">
        <f t="shared" si="19"/>
        <v>-2.5538000000000909</v>
      </c>
      <c r="F176" s="72">
        <f t="shared" si="20"/>
        <v>3.1031932215005435E-2</v>
      </c>
      <c r="G176" s="70">
        <f t="shared" si="16"/>
        <v>1.0000000000000231E-2</v>
      </c>
      <c r="H176" s="60">
        <f t="shared" si="15"/>
        <v>3.1031932215006155E-4</v>
      </c>
      <c r="I176" s="60">
        <f t="shared" si="21"/>
        <v>1.2035362960676125E-2</v>
      </c>
      <c r="J176" s="60">
        <f t="shared" si="17"/>
        <v>1.1910625418545808E-2</v>
      </c>
    </row>
    <row r="177" spans="1:10" x14ac:dyDescent="0.3">
      <c r="A177" s="70">
        <f t="shared" si="18"/>
        <v>-2.25000000000004</v>
      </c>
      <c r="B177" s="60">
        <v>0</v>
      </c>
      <c r="C177" s="70">
        <v>-2.25000000000004</v>
      </c>
      <c r="D177" s="70">
        <v>1</v>
      </c>
      <c r="E177" s="71">
        <f t="shared" si="19"/>
        <v>-2.5312500000000897</v>
      </c>
      <c r="F177" s="72">
        <f t="shared" si="20"/>
        <v>3.1739651835664566E-2</v>
      </c>
      <c r="G177" s="70">
        <f t="shared" si="16"/>
        <v>9.9999999999997868E-3</v>
      </c>
      <c r="H177" s="60">
        <f t="shared" si="15"/>
        <v>3.1739651835663887E-4</v>
      </c>
      <c r="I177" s="60">
        <f t="shared" si="21"/>
        <v>1.2352759479032763E-2</v>
      </c>
      <c r="J177" s="60">
        <f t="shared" si="17"/>
        <v>1.2224472655043428E-2</v>
      </c>
    </row>
    <row r="178" spans="1:10" x14ac:dyDescent="0.3">
      <c r="A178" s="70">
        <f t="shared" si="18"/>
        <v>-2.2400000000000402</v>
      </c>
      <c r="B178" s="60">
        <v>0</v>
      </c>
      <c r="C178" s="70">
        <v>-2.2400000000000402</v>
      </c>
      <c r="D178" s="70">
        <v>1</v>
      </c>
      <c r="E178" s="71">
        <f t="shared" si="19"/>
        <v>-2.5088000000000901</v>
      </c>
      <c r="F178" s="72">
        <f t="shared" si="20"/>
        <v>3.246026564369453E-2</v>
      </c>
      <c r="G178" s="70">
        <f t="shared" si="16"/>
        <v>1.0000000000000231E-2</v>
      </c>
      <c r="H178" s="60">
        <f t="shared" si="15"/>
        <v>3.2460265643695282E-4</v>
      </c>
      <c r="I178" s="60">
        <f t="shared" si="21"/>
        <v>1.2677362135469716E-2</v>
      </c>
      <c r="J178" s="60">
        <f t="shared" si="17"/>
        <v>1.2545461435945251E-2</v>
      </c>
    </row>
    <row r="179" spans="1:10" x14ac:dyDescent="0.3">
      <c r="A179" s="70">
        <f t="shared" si="18"/>
        <v>-2.23000000000004</v>
      </c>
      <c r="B179" s="60">
        <v>0</v>
      </c>
      <c r="C179" s="70">
        <v>-2.23000000000004</v>
      </c>
      <c r="D179" s="70">
        <v>1</v>
      </c>
      <c r="E179" s="71">
        <f t="shared" si="19"/>
        <v>-2.4864500000000893</v>
      </c>
      <c r="F179" s="72">
        <f t="shared" si="20"/>
        <v>3.3193920635858153E-2</v>
      </c>
      <c r="G179" s="70">
        <f t="shared" si="16"/>
        <v>9.9999999999997868E-3</v>
      </c>
      <c r="H179" s="60">
        <f t="shared" si="15"/>
        <v>3.3193920635857444E-4</v>
      </c>
      <c r="I179" s="60">
        <f t="shared" si="21"/>
        <v>1.3009301341828291E-2</v>
      </c>
      <c r="J179" s="60">
        <f t="shared" si="17"/>
        <v>1.287372143860069E-2</v>
      </c>
    </row>
    <row r="180" spans="1:10" x14ac:dyDescent="0.3">
      <c r="A180" s="70">
        <f t="shared" si="18"/>
        <v>-2.2200000000000402</v>
      </c>
      <c r="B180" s="60">
        <v>0</v>
      </c>
      <c r="C180" s="70">
        <v>-2.2200000000000402</v>
      </c>
      <c r="D180" s="70">
        <v>1</v>
      </c>
      <c r="E180" s="71">
        <f t="shared" si="19"/>
        <v>-2.4642000000000892</v>
      </c>
      <c r="F180" s="72">
        <f t="shared" si="20"/>
        <v>3.3940763182446168E-2</v>
      </c>
      <c r="G180" s="70">
        <f t="shared" si="16"/>
        <v>1.0000000000000231E-2</v>
      </c>
      <c r="H180" s="60">
        <f t="shared" si="15"/>
        <v>3.3940763182446955E-4</v>
      </c>
      <c r="I180" s="60">
        <f t="shared" si="21"/>
        <v>1.334870897365276E-2</v>
      </c>
      <c r="J180" s="60">
        <f t="shared" si="17"/>
        <v>1.3209383807254909E-2</v>
      </c>
    </row>
    <row r="181" spans="1:10" x14ac:dyDescent="0.3">
      <c r="A181" s="70">
        <f t="shared" si="18"/>
        <v>-2.2100000000000399</v>
      </c>
      <c r="B181" s="60">
        <v>0</v>
      </c>
      <c r="C181" s="70">
        <v>-2.2100000000000399</v>
      </c>
      <c r="D181" s="70">
        <v>1</v>
      </c>
      <c r="E181" s="71">
        <f t="shared" si="19"/>
        <v>-2.4420500000000884</v>
      </c>
      <c r="F181" s="72">
        <f t="shared" si="20"/>
        <v>3.4700938953915753E-2</v>
      </c>
      <c r="G181" s="70">
        <f t="shared" si="16"/>
        <v>9.9999999999997868E-3</v>
      </c>
      <c r="H181" s="60">
        <f t="shared" si="15"/>
        <v>3.4700938953915013E-4</v>
      </c>
      <c r="I181" s="60">
        <f t="shared" si="21"/>
        <v>1.369571836319191E-2</v>
      </c>
      <c r="J181" s="60">
        <f t="shared" si="17"/>
        <v>1.3552581146418592E-2</v>
      </c>
    </row>
    <row r="182" spans="1:10" x14ac:dyDescent="0.3">
      <c r="A182" s="70">
        <f t="shared" si="18"/>
        <v>-2.2000000000000401</v>
      </c>
      <c r="B182" s="60">
        <v>0</v>
      </c>
      <c r="C182" s="70">
        <v>-2.2000000000000401</v>
      </c>
      <c r="D182" s="70">
        <v>1</v>
      </c>
      <c r="E182" s="71">
        <f t="shared" si="19"/>
        <v>-2.4200000000000883</v>
      </c>
      <c r="F182" s="72">
        <f t="shared" si="20"/>
        <v>3.5474592846228309E-2</v>
      </c>
      <c r="G182" s="70">
        <f t="shared" si="16"/>
        <v>1.0000000000000231E-2</v>
      </c>
      <c r="H182" s="60">
        <f t="shared" si="15"/>
        <v>3.5474592846229127E-4</v>
      </c>
      <c r="I182" s="60">
        <f t="shared" si="21"/>
        <v>1.4050464291654201E-2</v>
      </c>
      <c r="J182" s="60">
        <f t="shared" si="17"/>
        <v>1.3903447513497182E-2</v>
      </c>
    </row>
    <row r="183" spans="1:10" x14ac:dyDescent="0.3">
      <c r="A183" s="70">
        <f t="shared" si="18"/>
        <v>-2.1900000000000399</v>
      </c>
      <c r="B183" s="60">
        <v>0</v>
      </c>
      <c r="C183" s="70">
        <v>-2.1900000000000399</v>
      </c>
      <c r="D183" s="70">
        <v>1</v>
      </c>
      <c r="E183" s="71">
        <f t="shared" si="19"/>
        <v>-2.3980500000000875</v>
      </c>
      <c r="F183" s="72">
        <f t="shared" si="20"/>
        <v>3.6261868904903051E-2</v>
      </c>
      <c r="G183" s="70">
        <f t="shared" si="16"/>
        <v>9.9999999999997868E-3</v>
      </c>
      <c r="H183" s="60">
        <f t="shared" si="15"/>
        <v>3.626186890490228E-4</v>
      </c>
      <c r="I183" s="60">
        <f t="shared" si="21"/>
        <v>1.4413082980703224E-2</v>
      </c>
      <c r="J183" s="60">
        <f t="shared" si="17"/>
        <v>1.4262118410667419E-2</v>
      </c>
    </row>
    <row r="184" spans="1:10" x14ac:dyDescent="0.3">
      <c r="A184" s="70">
        <f t="shared" si="18"/>
        <v>-2.1800000000000401</v>
      </c>
      <c r="B184" s="60">
        <v>0</v>
      </c>
      <c r="C184" s="70">
        <v>-2.1800000000000401</v>
      </c>
      <c r="D184" s="70">
        <v>1</v>
      </c>
      <c r="E184" s="71">
        <f t="shared" si="19"/>
        <v>-2.3762000000000874</v>
      </c>
      <c r="F184" s="72">
        <f t="shared" si="20"/>
        <v>3.7062910247803241E-2</v>
      </c>
      <c r="G184" s="70">
        <f t="shared" si="16"/>
        <v>1.0000000000000231E-2</v>
      </c>
      <c r="H184" s="60">
        <f t="shared" si="15"/>
        <v>3.7062910247804095E-4</v>
      </c>
      <c r="I184" s="60">
        <f t="shared" si="21"/>
        <v>1.4783712083181265E-2</v>
      </c>
      <c r="J184" s="60">
        <f t="shared" si="17"/>
        <v>1.4628730775987772E-2</v>
      </c>
    </row>
    <row r="185" spans="1:10" x14ac:dyDescent="0.3">
      <c r="A185" s="70">
        <f t="shared" si="18"/>
        <v>-2.1700000000000399</v>
      </c>
      <c r="B185" s="60">
        <v>0</v>
      </c>
      <c r="C185" s="70">
        <v>-2.1700000000000399</v>
      </c>
      <c r="D185" s="70">
        <v>1</v>
      </c>
      <c r="E185" s="71">
        <f t="shared" si="19"/>
        <v>-2.3544500000000865</v>
      </c>
      <c r="F185" s="72">
        <f t="shared" si="20"/>
        <v>3.7877858986674201E-2</v>
      </c>
      <c r="G185" s="70">
        <f t="shared" si="16"/>
        <v>9.9999999999997868E-3</v>
      </c>
      <c r="H185" s="60">
        <f t="shared" si="15"/>
        <v>3.7877858986673393E-4</v>
      </c>
      <c r="I185" s="60">
        <f t="shared" si="21"/>
        <v>1.5162490673047998E-2</v>
      </c>
      <c r="J185" s="60">
        <f t="shared" si="17"/>
        <v>1.5003422973730682E-2</v>
      </c>
    </row>
    <row r="186" spans="1:10" x14ac:dyDescent="0.3">
      <c r="A186" s="70">
        <f t="shared" si="18"/>
        <v>-2.1600000000000401</v>
      </c>
      <c r="B186" s="60">
        <v>0</v>
      </c>
      <c r="C186" s="70">
        <v>-2.1600000000000401</v>
      </c>
      <c r="D186" s="70">
        <v>1</v>
      </c>
      <c r="E186" s="71">
        <f t="shared" si="19"/>
        <v>-2.3328000000000868</v>
      </c>
      <c r="F186" s="72">
        <f t="shared" si="20"/>
        <v>3.8706856147452257E-2</v>
      </c>
      <c r="G186" s="70">
        <f t="shared" si="16"/>
        <v>1.0000000000000231E-2</v>
      </c>
      <c r="H186" s="60">
        <f t="shared" si="15"/>
        <v>3.8706856147453149E-4</v>
      </c>
      <c r="I186" s="60">
        <f t="shared" si="21"/>
        <v>1.5549559234522529E-2</v>
      </c>
      <c r="J186" s="60">
        <f t="shared" si="17"/>
        <v>1.5386334783923893E-2</v>
      </c>
    </row>
    <row r="187" spans="1:10" x14ac:dyDescent="0.3">
      <c r="A187" s="70">
        <f t="shared" si="18"/>
        <v>-2.1500000000000399</v>
      </c>
      <c r="B187" s="60">
        <v>0</v>
      </c>
      <c r="C187" s="70">
        <v>-2.1500000000000399</v>
      </c>
      <c r="D187" s="70">
        <v>1</v>
      </c>
      <c r="E187" s="71">
        <f t="shared" si="19"/>
        <v>-2.311250000000086</v>
      </c>
      <c r="F187" s="72">
        <f t="shared" si="20"/>
        <v>3.9550041589366813E-2</v>
      </c>
      <c r="G187" s="70">
        <f t="shared" si="16"/>
        <v>9.9999999999997868E-3</v>
      </c>
      <c r="H187" s="60">
        <f t="shared" si="15"/>
        <v>3.955004158936597E-4</v>
      </c>
      <c r="I187" s="60">
        <f t="shared" si="21"/>
        <v>1.5945059650416187E-2</v>
      </c>
      <c r="J187" s="60">
        <f t="shared" si="17"/>
        <v>1.5777607391088928E-2</v>
      </c>
    </row>
    <row r="188" spans="1:10" x14ac:dyDescent="0.3">
      <c r="A188" s="70">
        <f t="shared" si="18"/>
        <v>-2.1400000000000401</v>
      </c>
      <c r="B188" s="60">
        <v>0</v>
      </c>
      <c r="C188" s="70">
        <v>-2.1400000000000401</v>
      </c>
      <c r="D188" s="70">
        <v>1</v>
      </c>
      <c r="E188" s="71">
        <f t="shared" si="19"/>
        <v>-2.2898000000000858</v>
      </c>
      <c r="F188" s="72">
        <f t="shared" si="20"/>
        <v>4.0407553922856845E-2</v>
      </c>
      <c r="G188" s="70">
        <f t="shared" si="16"/>
        <v>1.0000000000000231E-2</v>
      </c>
      <c r="H188" s="60">
        <f t="shared" si="15"/>
        <v>4.040755392285778E-4</v>
      </c>
      <c r="I188" s="60">
        <f t="shared" si="21"/>
        <v>1.6349135189644766E-2</v>
      </c>
      <c r="J188" s="60">
        <f t="shared" si="17"/>
        <v>1.6177383372164469E-2</v>
      </c>
    </row>
    <row r="189" spans="1:10" x14ac:dyDescent="0.3">
      <c r="A189" s="70">
        <f t="shared" si="18"/>
        <v>-2.1300000000000399</v>
      </c>
      <c r="B189" s="60">
        <v>0</v>
      </c>
      <c r="C189" s="70">
        <v>-2.1300000000000399</v>
      </c>
      <c r="D189" s="70">
        <v>1</v>
      </c>
      <c r="E189" s="71">
        <f t="shared" si="19"/>
        <v>-2.2684500000000849</v>
      </c>
      <c r="F189" s="72">
        <f t="shared" si="20"/>
        <v>4.1279530426326899E-2</v>
      </c>
      <c r="G189" s="70">
        <f t="shared" si="16"/>
        <v>9.9999999999997868E-3</v>
      </c>
      <c r="H189" s="60">
        <f t="shared" si="15"/>
        <v>4.1279530426326018E-4</v>
      </c>
      <c r="I189" s="60">
        <f t="shared" si="21"/>
        <v>1.6761930493908027E-2</v>
      </c>
      <c r="J189" s="60">
        <f t="shared" si="17"/>
        <v>1.6585806683603366E-2</v>
      </c>
    </row>
    <row r="190" spans="1:10" x14ac:dyDescent="0.3">
      <c r="A190" s="70">
        <f t="shared" si="18"/>
        <v>-2.1200000000000401</v>
      </c>
      <c r="B190" s="60">
        <v>0</v>
      </c>
      <c r="C190" s="70">
        <v>-2.1200000000000401</v>
      </c>
      <c r="D190" s="70">
        <v>1</v>
      </c>
      <c r="E190" s="71">
        <f t="shared" si="19"/>
        <v>-2.2472000000000851</v>
      </c>
      <c r="F190" s="72">
        <f t="shared" si="20"/>
        <v>4.2166106961766738E-2</v>
      </c>
      <c r="G190" s="70">
        <f t="shared" si="16"/>
        <v>1.0000000000000231E-2</v>
      </c>
      <c r="H190" s="60">
        <f t="shared" si="15"/>
        <v>4.2166106961767712E-4</v>
      </c>
      <c r="I190" s="60">
        <f t="shared" si="21"/>
        <v>1.7183591563525703E-2</v>
      </c>
      <c r="J190" s="60">
        <f t="shared" si="17"/>
        <v>1.7003022647631108E-2</v>
      </c>
    </row>
    <row r="191" spans="1:10" x14ac:dyDescent="0.3">
      <c r="A191" s="70">
        <f t="shared" si="18"/>
        <v>-2.1100000000000398</v>
      </c>
      <c r="B191" s="60">
        <v>0</v>
      </c>
      <c r="C191" s="70">
        <v>-2.1100000000000398</v>
      </c>
      <c r="D191" s="70">
        <v>1</v>
      </c>
      <c r="E191" s="71">
        <f t="shared" si="19"/>
        <v>-2.2260500000000842</v>
      </c>
      <c r="F191" s="72">
        <f t="shared" si="20"/>
        <v>4.3067417889262105E-2</v>
      </c>
      <c r="G191" s="70">
        <f t="shared" si="16"/>
        <v>9.9999999999997868E-3</v>
      </c>
      <c r="H191" s="60">
        <f t="shared" si="15"/>
        <v>4.3067417889261186E-4</v>
      </c>
      <c r="I191" s="60">
        <f t="shared" si="21"/>
        <v>1.7614265742418315E-2</v>
      </c>
      <c r="J191" s="60">
        <f t="shared" si="17"/>
        <v>1.7429177937655371E-2</v>
      </c>
    </row>
    <row r="192" spans="1:10" x14ac:dyDescent="0.3">
      <c r="A192" s="70">
        <f t="shared" si="18"/>
        <v>-2.1000000000000401</v>
      </c>
      <c r="B192" s="60">
        <v>0</v>
      </c>
      <c r="C192" s="70">
        <v>-2.1000000000000401</v>
      </c>
      <c r="D192" s="70">
        <v>1</v>
      </c>
      <c r="E192" s="71">
        <f t="shared" si="19"/>
        <v>-2.205000000000084</v>
      </c>
      <c r="F192" s="72">
        <f t="shared" si="20"/>
        <v>4.39835959804235E-2</v>
      </c>
      <c r="G192" s="70">
        <f t="shared" si="16"/>
        <v>1.0000000000000231E-2</v>
      </c>
      <c r="H192" s="60">
        <f t="shared" ref="H192:H255" si="22">F192*G192</f>
        <v>4.3983595980424516E-4</v>
      </c>
      <c r="I192" s="60">
        <f t="shared" si="21"/>
        <v>1.8054101702222561E-2</v>
      </c>
      <c r="J192" s="60">
        <f t="shared" si="17"/>
        <v>1.786442056281479E-2</v>
      </c>
    </row>
    <row r="193" spans="1:10" x14ac:dyDescent="0.3">
      <c r="A193" s="70">
        <f t="shared" si="18"/>
        <v>-2.0900000000000398</v>
      </c>
      <c r="B193" s="60">
        <v>0</v>
      </c>
      <c r="C193" s="70">
        <v>-2.0900000000000398</v>
      </c>
      <c r="D193" s="70">
        <v>1</v>
      </c>
      <c r="E193" s="71">
        <f t="shared" si="19"/>
        <v>-2.1840500000000831</v>
      </c>
      <c r="F193" s="72">
        <f t="shared" si="20"/>
        <v>4.4914772330763353E-2</v>
      </c>
      <c r="G193" s="70">
        <f t="shared" si="16"/>
        <v>9.9999999999997868E-3</v>
      </c>
      <c r="H193" s="60">
        <f t="shared" si="22"/>
        <v>4.4914772330762397E-4</v>
      </c>
      <c r="I193" s="60">
        <f t="shared" si="21"/>
        <v>1.8503249425530183E-2</v>
      </c>
      <c r="J193" s="60">
        <f t="shared" si="17"/>
        <v>1.8308899851657158E-2</v>
      </c>
    </row>
    <row r="194" spans="1:10" x14ac:dyDescent="0.3">
      <c r="A194" s="70">
        <f t="shared" si="18"/>
        <v>-2.08000000000004</v>
      </c>
      <c r="B194" s="60">
        <v>0</v>
      </c>
      <c r="C194" s="70">
        <v>-2.08000000000004</v>
      </c>
      <c r="D194" s="70">
        <v>1</v>
      </c>
      <c r="E194" s="71">
        <f t="shared" si="19"/>
        <v>-2.1632000000000833</v>
      </c>
      <c r="F194" s="72">
        <f t="shared" si="20"/>
        <v>4.5861076271051078E-2</v>
      </c>
      <c r="G194" s="70">
        <f t="shared" ref="G194:G257" si="23">C195-C194</f>
        <v>1.0000000000000231E-2</v>
      </c>
      <c r="H194" s="60">
        <f t="shared" si="22"/>
        <v>4.586107627105214E-4</v>
      </c>
      <c r="I194" s="60">
        <f t="shared" si="21"/>
        <v>1.8961860188240705E-2</v>
      </c>
      <c r="J194" s="60">
        <f t="shared" ref="J194:J257" si="24">NORMSDIST(C194)</f>
        <v>1.8762766434935917E-2</v>
      </c>
    </row>
    <row r="195" spans="1:10" x14ac:dyDescent="0.3">
      <c r="A195" s="70">
        <f t="shared" ref="A195:A258" si="25">B195+C195</f>
        <v>-2.0700000000000398</v>
      </c>
      <c r="B195" s="60">
        <v>0</v>
      </c>
      <c r="C195" s="70">
        <v>-2.0700000000000398</v>
      </c>
      <c r="D195" s="70">
        <v>1</v>
      </c>
      <c r="E195" s="71">
        <f t="shared" ref="E195:E258" si="26">-(A195-B195)*(A195-B195)/2</f>
        <v>-2.1424500000000823</v>
      </c>
      <c r="F195" s="72">
        <f t="shared" ref="F195:F258" si="27">(1/SQRT(2*PI()))*(EXP(E195))</f>
        <v>4.6822635277679298E-2</v>
      </c>
      <c r="G195" s="70">
        <f t="shared" si="23"/>
        <v>9.9999999999997868E-3</v>
      </c>
      <c r="H195" s="60">
        <f t="shared" si="22"/>
        <v>4.6822635277678302E-4</v>
      </c>
      <c r="I195" s="60">
        <f t="shared" si="21"/>
        <v>1.9430086541017487E-2</v>
      </c>
      <c r="J195" s="60">
        <f t="shared" si="24"/>
        <v>1.9226172227515419E-2</v>
      </c>
    </row>
    <row r="196" spans="1:10" x14ac:dyDescent="0.3">
      <c r="A196" s="70">
        <f t="shared" si="25"/>
        <v>-2.06000000000004</v>
      </c>
      <c r="B196" s="60">
        <v>0</v>
      </c>
      <c r="C196" s="70">
        <v>-2.06000000000004</v>
      </c>
      <c r="D196" s="70">
        <v>1</v>
      </c>
      <c r="E196" s="71">
        <f t="shared" si="26"/>
        <v>-2.1218000000000825</v>
      </c>
      <c r="F196" s="72">
        <f t="shared" si="27"/>
        <v>4.7799574882073086E-2</v>
      </c>
      <c r="G196" s="70">
        <f t="shared" si="23"/>
        <v>1.0000000000000231E-2</v>
      </c>
      <c r="H196" s="60">
        <f t="shared" si="22"/>
        <v>4.779957488207419E-4</v>
      </c>
      <c r="I196" s="60">
        <f t="shared" si="21"/>
        <v>1.990808228983823E-2</v>
      </c>
      <c r="J196" s="60">
        <f t="shared" si="24"/>
        <v>1.9699270409374969E-2</v>
      </c>
    </row>
    <row r="197" spans="1:10" x14ac:dyDescent="0.3">
      <c r="A197" s="70">
        <f t="shared" si="25"/>
        <v>-2.0500000000000398</v>
      </c>
      <c r="B197" s="60">
        <v>0</v>
      </c>
      <c r="C197" s="70">
        <v>-2.0500000000000398</v>
      </c>
      <c r="D197" s="70">
        <v>1</v>
      </c>
      <c r="E197" s="71">
        <f t="shared" si="26"/>
        <v>-2.1012500000000816</v>
      </c>
      <c r="F197" s="72">
        <f t="shared" si="27"/>
        <v>4.8792018579178781E-2</v>
      </c>
      <c r="G197" s="70">
        <f t="shared" si="23"/>
        <v>9.9999999999997868E-3</v>
      </c>
      <c r="H197" s="60">
        <f t="shared" si="22"/>
        <v>4.8792018579177739E-4</v>
      </c>
      <c r="I197" s="60">
        <f t="shared" ref="I197:I260" si="28">H197+I196</f>
        <v>2.0396002475630007E-2</v>
      </c>
      <c r="J197" s="60">
        <f t="shared" si="24"/>
        <v>2.0182215405702454E-2</v>
      </c>
    </row>
    <row r="198" spans="1:10" x14ac:dyDescent="0.3">
      <c r="A198" s="70">
        <f t="shared" si="25"/>
        <v>-2.04000000000004</v>
      </c>
      <c r="B198" s="60">
        <v>0</v>
      </c>
      <c r="C198" s="70">
        <v>-2.04000000000004</v>
      </c>
      <c r="D198" s="70">
        <v>1</v>
      </c>
      <c r="E198" s="71">
        <f t="shared" si="26"/>
        <v>-2.0808000000000817</v>
      </c>
      <c r="F198" s="72">
        <f t="shared" si="27"/>
        <v>4.9800087735066702E-2</v>
      </c>
      <c r="G198" s="70">
        <f t="shared" si="23"/>
        <v>9.9999999999997868E-3</v>
      </c>
      <c r="H198" s="60">
        <f t="shared" si="22"/>
        <v>4.9800087735065639E-4</v>
      </c>
      <c r="I198" s="60">
        <f t="shared" si="28"/>
        <v>2.0894003352980663E-2</v>
      </c>
      <c r="J198" s="60">
        <f t="shared" si="24"/>
        <v>2.0675162866068048E-2</v>
      </c>
    </row>
    <row r="199" spans="1:10" x14ac:dyDescent="0.3">
      <c r="A199" s="70">
        <f t="shared" si="25"/>
        <v>-2.0300000000000402</v>
      </c>
      <c r="B199" s="60">
        <v>0</v>
      </c>
      <c r="C199" s="70">
        <v>-2.0300000000000402</v>
      </c>
      <c r="D199" s="70">
        <v>1</v>
      </c>
      <c r="E199" s="71">
        <f t="shared" si="26"/>
        <v>-2.0604500000000816</v>
      </c>
      <c r="F199" s="72">
        <f t="shared" si="27"/>
        <v>5.0823901493687033E-2</v>
      </c>
      <c r="G199" s="70">
        <f t="shared" si="23"/>
        <v>1.0000000000000231E-2</v>
      </c>
      <c r="H199" s="60">
        <f t="shared" si="22"/>
        <v>5.0823901493688209E-4</v>
      </c>
      <c r="I199" s="60">
        <f t="shared" si="28"/>
        <v>2.1402242367917546E-2</v>
      </c>
      <c r="J199" s="60">
        <f t="shared" si="24"/>
        <v>2.1178269642670215E-2</v>
      </c>
    </row>
    <row r="200" spans="1:10" x14ac:dyDescent="0.3">
      <c r="A200" s="70">
        <f t="shared" si="25"/>
        <v>-2.02000000000004</v>
      </c>
      <c r="B200" s="60">
        <v>0</v>
      </c>
      <c r="C200" s="70">
        <v>-2.02000000000004</v>
      </c>
      <c r="D200" s="70">
        <v>1</v>
      </c>
      <c r="E200" s="71">
        <f t="shared" si="26"/>
        <v>-2.0402000000000808</v>
      </c>
      <c r="F200" s="72">
        <f t="shared" si="27"/>
        <v>5.1863576682816367E-2</v>
      </c>
      <c r="G200" s="70">
        <f t="shared" si="23"/>
        <v>9.9999999999997868E-3</v>
      </c>
      <c r="H200" s="60">
        <f t="shared" si="22"/>
        <v>5.1863576682815266E-4</v>
      </c>
      <c r="I200" s="60">
        <f t="shared" si="28"/>
        <v>2.1920878134745699E-2</v>
      </c>
      <c r="J200" s="60">
        <f t="shared" si="24"/>
        <v>2.1691693767644713E-2</v>
      </c>
    </row>
    <row r="201" spans="1:10" x14ac:dyDescent="0.3">
      <c r="A201" s="70">
        <f t="shared" si="25"/>
        <v>-2.0100000000000402</v>
      </c>
      <c r="B201" s="60">
        <v>0</v>
      </c>
      <c r="C201" s="70">
        <v>-2.0100000000000402</v>
      </c>
      <c r="D201" s="70">
        <v>1</v>
      </c>
      <c r="E201" s="71">
        <f t="shared" si="26"/>
        <v>-2.0200500000000807</v>
      </c>
      <c r="F201" s="72">
        <f t="shared" si="27"/>
        <v>5.291922771923601E-2</v>
      </c>
      <c r="G201" s="70">
        <f t="shared" si="23"/>
        <v>1.0000000000000231E-2</v>
      </c>
      <c r="H201" s="60">
        <f t="shared" si="22"/>
        <v>5.291922771923723E-4</v>
      </c>
      <c r="I201" s="60">
        <f t="shared" si="28"/>
        <v>2.245007041193807E-2</v>
      </c>
      <c r="J201" s="60">
        <f t="shared" si="24"/>
        <v>2.2215594429429338E-2</v>
      </c>
    </row>
    <row r="202" spans="1:10" x14ac:dyDescent="0.3">
      <c r="A202" s="70">
        <f t="shared" si="25"/>
        <v>-2.00000000000004</v>
      </c>
      <c r="B202" s="60">
        <v>0</v>
      </c>
      <c r="C202" s="70">
        <v>-2.00000000000004</v>
      </c>
      <c r="D202" s="70">
        <v>1</v>
      </c>
      <c r="E202" s="71">
        <f t="shared" si="26"/>
        <v>-2.0000000000000799</v>
      </c>
      <c r="F202" s="72">
        <f t="shared" si="27"/>
        <v>5.399096651318374E-2</v>
      </c>
      <c r="G202" s="70">
        <f t="shared" si="23"/>
        <v>1.0000000000000009E-2</v>
      </c>
      <c r="H202" s="60">
        <f t="shared" si="22"/>
        <v>5.3990966513183783E-4</v>
      </c>
      <c r="I202" s="60">
        <f t="shared" si="28"/>
        <v>2.2989980077069906E-2</v>
      </c>
      <c r="J202" s="60">
        <f t="shared" si="24"/>
        <v>2.2750131948177051E-2</v>
      </c>
    </row>
    <row r="203" spans="1:10" x14ac:dyDescent="0.3">
      <c r="A203" s="70">
        <f t="shared" si="25"/>
        <v>-1.99000000000004</v>
      </c>
      <c r="B203" s="60">
        <v>0</v>
      </c>
      <c r="C203" s="70">
        <v>-1.99000000000004</v>
      </c>
      <c r="D203" s="70">
        <v>1</v>
      </c>
      <c r="E203" s="71">
        <f t="shared" si="26"/>
        <v>-1.9800500000000796</v>
      </c>
      <c r="F203" s="72">
        <f t="shared" si="27"/>
        <v>5.5078902372121388E-2</v>
      </c>
      <c r="G203" s="70">
        <f t="shared" si="23"/>
        <v>1.0000000000000009E-2</v>
      </c>
      <c r="H203" s="60">
        <f t="shared" si="22"/>
        <v>5.5078902372121433E-4</v>
      </c>
      <c r="I203" s="60">
        <f t="shared" si="28"/>
        <v>2.3540769100791122E-2</v>
      </c>
      <c r="J203" s="60">
        <f t="shared" si="24"/>
        <v>2.329546775020962E-2</v>
      </c>
    </row>
    <row r="204" spans="1:10" x14ac:dyDescent="0.3">
      <c r="A204" s="70">
        <f t="shared" si="25"/>
        <v>-1.98000000000004</v>
      </c>
      <c r="B204" s="60">
        <v>0</v>
      </c>
      <c r="C204" s="70">
        <v>-1.98000000000004</v>
      </c>
      <c r="D204" s="70">
        <v>1</v>
      </c>
      <c r="E204" s="71">
        <f t="shared" si="26"/>
        <v>-1.9602000000000792</v>
      </c>
      <c r="F204" s="72">
        <f t="shared" si="27"/>
        <v>5.6183141903863587E-2</v>
      </c>
      <c r="G204" s="70">
        <f t="shared" si="23"/>
        <v>1.0000000000000009E-2</v>
      </c>
      <c r="H204" s="60">
        <f t="shared" si="22"/>
        <v>5.6183141903863641E-4</v>
      </c>
      <c r="I204" s="60">
        <f t="shared" si="28"/>
        <v>2.4102600519829757E-2</v>
      </c>
      <c r="J204" s="60">
        <f t="shared" si="24"/>
        <v>2.3851764341506286E-2</v>
      </c>
    </row>
    <row r="205" spans="1:10" x14ac:dyDescent="0.3">
      <c r="A205" s="70">
        <f t="shared" si="25"/>
        <v>-1.9700000000000399</v>
      </c>
      <c r="B205" s="60">
        <v>0</v>
      </c>
      <c r="C205" s="70">
        <v>-1.9700000000000399</v>
      </c>
      <c r="D205" s="70">
        <v>1</v>
      </c>
      <c r="E205" s="71">
        <f t="shared" si="26"/>
        <v>-1.9404500000000786</v>
      </c>
      <c r="F205" s="72">
        <f t="shared" si="27"/>
        <v>5.7303788919112628E-2</v>
      </c>
      <c r="G205" s="70">
        <f t="shared" si="23"/>
        <v>1.0000000000000009E-2</v>
      </c>
      <c r="H205" s="60">
        <f t="shared" si="22"/>
        <v>5.7303788919112674E-4</v>
      </c>
      <c r="I205" s="60">
        <f t="shared" si="28"/>
        <v>2.4675638409020883E-2</v>
      </c>
      <c r="J205" s="60">
        <f t="shared" si="24"/>
        <v>2.4419185280220242E-2</v>
      </c>
    </row>
    <row r="206" spans="1:10" x14ac:dyDescent="0.3">
      <c r="A206" s="70">
        <f t="shared" si="25"/>
        <v>-1.9600000000000399</v>
      </c>
      <c r="B206" s="60">
        <v>0</v>
      </c>
      <c r="C206" s="70">
        <v>-1.9600000000000399</v>
      </c>
      <c r="D206" s="70">
        <v>1</v>
      </c>
      <c r="E206" s="71">
        <f t="shared" si="26"/>
        <v>-1.9208000000000782</v>
      </c>
      <c r="F206" s="72">
        <f t="shared" si="27"/>
        <v>5.844094433344689E-2</v>
      </c>
      <c r="G206" s="70">
        <f t="shared" si="23"/>
        <v>1.0000000000000009E-2</v>
      </c>
      <c r="H206" s="60">
        <f t="shared" si="22"/>
        <v>5.8440944333446943E-4</v>
      </c>
      <c r="I206" s="60">
        <f t="shared" si="28"/>
        <v>2.5260047852355354E-2</v>
      </c>
      <c r="J206" s="60">
        <f t="shared" si="24"/>
        <v>2.4997895148218093E-2</v>
      </c>
    </row>
    <row r="207" spans="1:10" x14ac:dyDescent="0.3">
      <c r="A207" s="70">
        <f t="shared" si="25"/>
        <v>-1.9500000000000399</v>
      </c>
      <c r="B207" s="60">
        <v>0</v>
      </c>
      <c r="C207" s="70">
        <v>-1.9500000000000399</v>
      </c>
      <c r="D207" s="70">
        <v>1</v>
      </c>
      <c r="E207" s="71">
        <f t="shared" si="26"/>
        <v>-1.9012500000000778</v>
      </c>
      <c r="F207" s="72">
        <f t="shared" si="27"/>
        <v>5.9594706068811433E-2</v>
      </c>
      <c r="G207" s="70">
        <f t="shared" si="23"/>
        <v>1.0000000000000009E-2</v>
      </c>
      <c r="H207" s="60">
        <f t="shared" si="22"/>
        <v>5.959470606881149E-4</v>
      </c>
      <c r="I207" s="60">
        <f t="shared" si="28"/>
        <v>2.5855994913043467E-2</v>
      </c>
      <c r="J207" s="60">
        <f t="shared" si="24"/>
        <v>2.5588059521636237E-2</v>
      </c>
    </row>
    <row r="208" spans="1:10" x14ac:dyDescent="0.3">
      <c r="A208" s="70">
        <f t="shared" si="25"/>
        <v>-1.9400000000000399</v>
      </c>
      <c r="B208" s="60">
        <v>0</v>
      </c>
      <c r="C208" s="70">
        <v>-1.9400000000000399</v>
      </c>
      <c r="D208" s="70">
        <v>1</v>
      </c>
      <c r="E208" s="71">
        <f t="shared" si="26"/>
        <v>-1.8818000000000774</v>
      </c>
      <c r="F208" s="72">
        <f t="shared" si="27"/>
        <v>6.0765168954560071E-2</v>
      </c>
      <c r="G208" s="70">
        <f t="shared" si="23"/>
        <v>1.0000000000000009E-2</v>
      </c>
      <c r="H208" s="60">
        <f t="shared" si="22"/>
        <v>6.0765168954560124E-4</v>
      </c>
      <c r="I208" s="60">
        <f t="shared" si="28"/>
        <v>2.6463646602589069E-2</v>
      </c>
      <c r="J208" s="60">
        <f t="shared" si="24"/>
        <v>2.618984494045026E-2</v>
      </c>
    </row>
    <row r="209" spans="1:10" x14ac:dyDescent="0.3">
      <c r="A209" s="70">
        <f t="shared" si="25"/>
        <v>-1.9300000000000399</v>
      </c>
      <c r="B209" s="60">
        <v>0</v>
      </c>
      <c r="C209" s="70">
        <v>-1.9300000000000399</v>
      </c>
      <c r="D209" s="70">
        <v>1</v>
      </c>
      <c r="E209" s="71">
        <f t="shared" si="26"/>
        <v>-1.862450000000077</v>
      </c>
      <c r="F209" s="72">
        <f t="shared" si="27"/>
        <v>6.195242462810039E-2</v>
      </c>
      <c r="G209" s="70">
        <f t="shared" si="23"/>
        <v>1.0000000000000009E-2</v>
      </c>
      <c r="H209" s="60">
        <f t="shared" si="22"/>
        <v>6.1952424628100447E-4</v>
      </c>
      <c r="I209" s="60">
        <f t="shared" si="28"/>
        <v>2.7083170848870075E-2</v>
      </c>
      <c r="J209" s="60">
        <f t="shared" si="24"/>
        <v>2.6803418877052478E-2</v>
      </c>
    </row>
    <row r="210" spans="1:10" x14ac:dyDescent="0.3">
      <c r="A210" s="70">
        <f t="shared" si="25"/>
        <v>-1.9200000000000399</v>
      </c>
      <c r="B210" s="60">
        <v>0</v>
      </c>
      <c r="C210" s="70">
        <v>-1.9200000000000399</v>
      </c>
      <c r="D210" s="70">
        <v>1</v>
      </c>
      <c r="E210" s="71">
        <f t="shared" si="26"/>
        <v>-1.8432000000000766</v>
      </c>
      <c r="F210" s="72">
        <f t="shared" si="27"/>
        <v>6.3156561435193811E-2</v>
      </c>
      <c r="G210" s="70">
        <f t="shared" si="23"/>
        <v>9.9999999999997868E-3</v>
      </c>
      <c r="H210" s="60">
        <f t="shared" si="22"/>
        <v>6.3156561435192464E-4</v>
      </c>
      <c r="I210" s="60">
        <f t="shared" si="28"/>
        <v>2.7714736463221999E-2</v>
      </c>
      <c r="J210" s="60">
        <f t="shared" si="24"/>
        <v>2.7428949703834287E-2</v>
      </c>
    </row>
    <row r="211" spans="1:10" x14ac:dyDescent="0.3">
      <c r="A211" s="70">
        <f t="shared" si="25"/>
        <v>-1.9100000000000401</v>
      </c>
      <c r="B211" s="60">
        <v>0</v>
      </c>
      <c r="C211" s="70">
        <v>-1.9100000000000401</v>
      </c>
      <c r="D211" s="70">
        <v>1</v>
      </c>
      <c r="E211" s="71">
        <f t="shared" si="26"/>
        <v>-1.8240500000000766</v>
      </c>
      <c r="F211" s="72">
        <f t="shared" si="27"/>
        <v>6.4377664329964418E-2</v>
      </c>
      <c r="G211" s="70">
        <f t="shared" si="23"/>
        <v>1.0000000000000009E-2</v>
      </c>
      <c r="H211" s="60">
        <f t="shared" si="22"/>
        <v>6.4377664329964477E-4</v>
      </c>
      <c r="I211" s="60">
        <f t="shared" si="28"/>
        <v>2.8358513106521644E-2</v>
      </c>
      <c r="J211" s="60">
        <f t="shared" si="24"/>
        <v>2.806660665976991E-2</v>
      </c>
    </row>
    <row r="212" spans="1:10" x14ac:dyDescent="0.3">
      <c r="A212" s="70">
        <f t="shared" si="25"/>
        <v>-1.9000000000000401</v>
      </c>
      <c r="B212" s="60">
        <v>0</v>
      </c>
      <c r="C212" s="70">
        <v>-1.9000000000000401</v>
      </c>
      <c r="D212" s="70">
        <v>1</v>
      </c>
      <c r="E212" s="71">
        <f t="shared" si="26"/>
        <v>-1.8050000000000761</v>
      </c>
      <c r="F212" s="72">
        <f t="shared" si="27"/>
        <v>6.5615814774671599E-2</v>
      </c>
      <c r="G212" s="70">
        <f t="shared" si="23"/>
        <v>1.0000000000000009E-2</v>
      </c>
      <c r="H212" s="60">
        <f t="shared" si="22"/>
        <v>6.5615814774671656E-4</v>
      </c>
      <c r="I212" s="60">
        <f t="shared" si="28"/>
        <v>2.9014671254268362E-2</v>
      </c>
      <c r="J212" s="60">
        <f t="shared" si="24"/>
        <v>2.871655981599916E-2</v>
      </c>
    </row>
    <row r="213" spans="1:10" x14ac:dyDescent="0.3">
      <c r="A213" s="70">
        <f t="shared" si="25"/>
        <v>-1.8900000000000401</v>
      </c>
      <c r="B213" s="60">
        <v>0</v>
      </c>
      <c r="C213" s="70">
        <v>-1.8900000000000401</v>
      </c>
      <c r="D213" s="70">
        <v>1</v>
      </c>
      <c r="E213" s="71">
        <f t="shared" si="26"/>
        <v>-1.7860500000000759</v>
      </c>
      <c r="F213" s="72">
        <f t="shared" si="27"/>
        <v>6.6871090639302078E-2</v>
      </c>
      <c r="G213" s="70">
        <f t="shared" si="23"/>
        <v>9.9999999999900169E-3</v>
      </c>
      <c r="H213" s="60">
        <f t="shared" si="22"/>
        <v>6.6871090639235319E-4</v>
      </c>
      <c r="I213" s="60">
        <f t="shared" si="28"/>
        <v>2.9683382160660715E-2</v>
      </c>
      <c r="J213" s="60">
        <f t="shared" si="24"/>
        <v>2.9378980040406743E-2</v>
      </c>
    </row>
    <row r="214" spans="1:10" x14ac:dyDescent="0.3">
      <c r="A214" s="70">
        <f t="shared" si="25"/>
        <v>-1.8800000000000501</v>
      </c>
      <c r="B214" s="60">
        <v>0</v>
      </c>
      <c r="C214" s="70">
        <v>-1.8800000000000501</v>
      </c>
      <c r="D214" s="70">
        <v>1</v>
      </c>
      <c r="E214" s="71">
        <f t="shared" si="26"/>
        <v>-1.7672000000000943</v>
      </c>
      <c r="F214" s="72">
        <f t="shared" si="27"/>
        <v>6.8143566101038153E-2</v>
      </c>
      <c r="G214" s="70">
        <f t="shared" si="23"/>
        <v>1.0000000000000009E-2</v>
      </c>
      <c r="H214" s="60">
        <f t="shared" si="22"/>
        <v>6.8143566101038216E-4</v>
      </c>
      <c r="I214" s="60">
        <f t="shared" si="28"/>
        <v>3.0364817821671098E-2</v>
      </c>
      <c r="J214" s="60">
        <f t="shared" si="24"/>
        <v>3.0054038961196367E-2</v>
      </c>
    </row>
    <row r="215" spans="1:10" x14ac:dyDescent="0.3">
      <c r="A215" s="70">
        <f t="shared" si="25"/>
        <v>-1.8700000000000501</v>
      </c>
      <c r="B215" s="60">
        <v>0</v>
      </c>
      <c r="C215" s="70">
        <v>-1.8700000000000501</v>
      </c>
      <c r="D215" s="70">
        <v>1</v>
      </c>
      <c r="E215" s="71">
        <f t="shared" si="26"/>
        <v>-1.7484500000000935</v>
      </c>
      <c r="F215" s="72">
        <f t="shared" si="27"/>
        <v>6.9433311543667706E-2</v>
      </c>
      <c r="G215" s="70">
        <f t="shared" si="23"/>
        <v>1.0000000000000009E-2</v>
      </c>
      <c r="H215" s="60">
        <f t="shared" si="22"/>
        <v>6.9433311543667768E-4</v>
      </c>
      <c r="I215" s="60">
        <f t="shared" si="28"/>
        <v>3.1059150937107774E-2</v>
      </c>
      <c r="J215" s="60">
        <f t="shared" si="24"/>
        <v>3.0741908929462481E-2</v>
      </c>
    </row>
    <row r="216" spans="1:10" x14ac:dyDescent="0.3">
      <c r="A216" s="70">
        <f t="shared" si="25"/>
        <v>-1.8600000000000501</v>
      </c>
      <c r="B216" s="60">
        <v>0</v>
      </c>
      <c r="C216" s="70">
        <v>-1.8600000000000501</v>
      </c>
      <c r="D216" s="70">
        <v>1</v>
      </c>
      <c r="E216" s="71">
        <f t="shared" si="26"/>
        <v>-1.729800000000093</v>
      </c>
      <c r="F216" s="72">
        <f t="shared" si="27"/>
        <v>7.0740393456976802E-2</v>
      </c>
      <c r="G216" s="70">
        <f t="shared" si="23"/>
        <v>1.0000000000000009E-2</v>
      </c>
      <c r="H216" s="60">
        <f t="shared" si="22"/>
        <v>7.0740393456976869E-4</v>
      </c>
      <c r="I216" s="60">
        <f t="shared" si="28"/>
        <v>3.1766554871677545E-2</v>
      </c>
      <c r="J216" s="60">
        <f t="shared" si="24"/>
        <v>3.1442762980749162E-2</v>
      </c>
    </row>
    <row r="217" spans="1:10" x14ac:dyDescent="0.3">
      <c r="A217" s="70">
        <f t="shared" si="25"/>
        <v>-1.85000000000005</v>
      </c>
      <c r="B217" s="60">
        <v>0</v>
      </c>
      <c r="C217" s="70">
        <v>-1.85000000000005</v>
      </c>
      <c r="D217" s="70">
        <v>1</v>
      </c>
      <c r="E217" s="71">
        <f t="shared" si="26"/>
        <v>-1.7112500000000925</v>
      </c>
      <c r="F217" s="72">
        <f t="shared" si="27"/>
        <v>7.2064874336211338E-2</v>
      </c>
      <c r="G217" s="70">
        <f t="shared" si="23"/>
        <v>1.0000000000000009E-2</v>
      </c>
      <c r="H217" s="60">
        <f t="shared" si="22"/>
        <v>7.20648743362114E-4</v>
      </c>
      <c r="I217" s="60">
        <f t="shared" si="28"/>
        <v>3.2487203615039657E-2</v>
      </c>
      <c r="J217" s="60">
        <f t="shared" si="24"/>
        <v>3.2156774795610112E-2</v>
      </c>
    </row>
    <row r="218" spans="1:10" x14ac:dyDescent="0.3">
      <c r="A218" s="70">
        <f t="shared" si="25"/>
        <v>-1.84000000000005</v>
      </c>
      <c r="B218" s="60">
        <v>0</v>
      </c>
      <c r="C218" s="70">
        <v>-1.84000000000005</v>
      </c>
      <c r="D218" s="70">
        <v>1</v>
      </c>
      <c r="E218" s="71">
        <f t="shared" si="26"/>
        <v>-1.692800000000092</v>
      </c>
      <c r="F218" s="72">
        <f t="shared" si="27"/>
        <v>7.3406812581650133E-2</v>
      </c>
      <c r="G218" s="70">
        <f t="shared" si="23"/>
        <v>1.0000000000000009E-2</v>
      </c>
      <c r="H218" s="60">
        <f t="shared" si="22"/>
        <v>7.3406812581650201E-4</v>
      </c>
      <c r="I218" s="60">
        <f t="shared" si="28"/>
        <v>3.3221271740856158E-2</v>
      </c>
      <c r="J218" s="60">
        <f t="shared" si="24"/>
        <v>3.2884118659160196E-2</v>
      </c>
    </row>
    <row r="219" spans="1:10" x14ac:dyDescent="0.3">
      <c r="A219" s="70">
        <f t="shared" si="25"/>
        <v>-1.83000000000005</v>
      </c>
      <c r="B219" s="60">
        <v>0</v>
      </c>
      <c r="C219" s="70">
        <v>-1.83000000000005</v>
      </c>
      <c r="D219" s="70">
        <v>1</v>
      </c>
      <c r="E219" s="71">
        <f t="shared" si="26"/>
        <v>-1.6744500000000915</v>
      </c>
      <c r="F219" s="72">
        <f t="shared" si="27"/>
        <v>7.4766262398360775E-2</v>
      </c>
      <c r="G219" s="70">
        <f t="shared" si="23"/>
        <v>1.0000000000000009E-2</v>
      </c>
      <c r="H219" s="60">
        <f t="shared" si="22"/>
        <v>7.4766262398360845E-4</v>
      </c>
      <c r="I219" s="60">
        <f t="shared" si="28"/>
        <v>3.3968934364839769E-2</v>
      </c>
      <c r="J219" s="60">
        <f t="shared" si="24"/>
        <v>3.3624969419624597E-2</v>
      </c>
    </row>
    <row r="220" spans="1:10" x14ac:dyDescent="0.3">
      <c r="A220" s="70">
        <f t="shared" si="25"/>
        <v>-1.82000000000005</v>
      </c>
      <c r="B220" s="60">
        <v>0</v>
      </c>
      <c r="C220" s="70">
        <v>-1.82000000000005</v>
      </c>
      <c r="D220" s="70">
        <v>1</v>
      </c>
      <c r="E220" s="71">
        <f t="shared" si="26"/>
        <v>-1.6562000000000909</v>
      </c>
      <c r="F220" s="72">
        <f t="shared" si="27"/>
        <v>7.6143273696200386E-2</v>
      </c>
      <c r="G220" s="70">
        <f t="shared" si="23"/>
        <v>1.0000000000000009E-2</v>
      </c>
      <c r="H220" s="60">
        <f t="shared" si="22"/>
        <v>7.6143273696200459E-4</v>
      </c>
      <c r="I220" s="60">
        <f t="shared" si="28"/>
        <v>3.4730367101801773E-2</v>
      </c>
      <c r="J220" s="60">
        <f t="shared" si="24"/>
        <v>3.4379502445886174E-2</v>
      </c>
    </row>
    <row r="221" spans="1:10" x14ac:dyDescent="0.3">
      <c r="A221" s="70">
        <f t="shared" si="25"/>
        <v>-1.81000000000005</v>
      </c>
      <c r="B221" s="60">
        <v>0</v>
      </c>
      <c r="C221" s="70">
        <v>-1.81000000000005</v>
      </c>
      <c r="D221" s="70">
        <v>1</v>
      </c>
      <c r="E221" s="71">
        <f t="shared" si="26"/>
        <v>-1.6380500000000906</v>
      </c>
      <c r="F221" s="72">
        <f t="shared" si="27"/>
        <v>7.7537891990126964E-2</v>
      </c>
      <c r="G221" s="70">
        <f t="shared" si="23"/>
        <v>1.0000000000000009E-2</v>
      </c>
      <c r="H221" s="60">
        <f t="shared" si="22"/>
        <v>7.7537891990127035E-4</v>
      </c>
      <c r="I221" s="60">
        <f t="shared" si="28"/>
        <v>3.5505746021703047E-2</v>
      </c>
      <c r="J221" s="60">
        <f t="shared" si="24"/>
        <v>3.5147893584034917E-2</v>
      </c>
    </row>
    <row r="222" spans="1:10" x14ac:dyDescent="0.3">
      <c r="A222" s="70">
        <f t="shared" si="25"/>
        <v>-1.80000000000005</v>
      </c>
      <c r="B222" s="60">
        <v>0</v>
      </c>
      <c r="C222" s="70">
        <v>-1.80000000000005</v>
      </c>
      <c r="D222" s="70">
        <v>1</v>
      </c>
      <c r="E222" s="71">
        <f t="shared" si="26"/>
        <v>-1.62000000000009</v>
      </c>
      <c r="F222" s="72">
        <f t="shared" si="27"/>
        <v>7.8950158300887058E-2</v>
      </c>
      <c r="G222" s="70">
        <f t="shared" si="23"/>
        <v>1.0000000000000009E-2</v>
      </c>
      <c r="H222" s="60">
        <f t="shared" si="22"/>
        <v>7.8950158300887128E-4</v>
      </c>
      <c r="I222" s="60">
        <f t="shared" si="28"/>
        <v>3.6295247604711915E-2</v>
      </c>
      <c r="J222" s="60">
        <f t="shared" si="24"/>
        <v>3.5930319112921841E-2</v>
      </c>
    </row>
    <row r="223" spans="1:10" x14ac:dyDescent="0.3">
      <c r="A223" s="70">
        <f t="shared" si="25"/>
        <v>-1.79000000000005</v>
      </c>
      <c r="B223" s="60">
        <v>0</v>
      </c>
      <c r="C223" s="70">
        <v>-1.79000000000005</v>
      </c>
      <c r="D223" s="70">
        <v>1</v>
      </c>
      <c r="E223" s="71">
        <f t="shared" si="26"/>
        <v>-1.6020500000000895</v>
      </c>
      <c r="F223" s="72">
        <f t="shared" si="27"/>
        <v>8.0380109056146967E-2</v>
      </c>
      <c r="G223" s="70">
        <f t="shared" si="23"/>
        <v>1.0000000000000009E-2</v>
      </c>
      <c r="H223" s="60">
        <f t="shared" si="22"/>
        <v>8.0380109056147036E-4</v>
      </c>
      <c r="I223" s="60">
        <f t="shared" si="28"/>
        <v>3.7099048695273383E-2</v>
      </c>
      <c r="J223" s="60">
        <f t="shared" si="24"/>
        <v>3.6726955698722266E-2</v>
      </c>
    </row>
    <row r="224" spans="1:10" x14ac:dyDescent="0.3">
      <c r="A224" s="70">
        <f t="shared" si="25"/>
        <v>-1.78000000000005</v>
      </c>
      <c r="B224" s="60">
        <v>0</v>
      </c>
      <c r="C224" s="70">
        <v>-1.78000000000005</v>
      </c>
      <c r="D224" s="70">
        <v>1</v>
      </c>
      <c r="E224" s="71">
        <f t="shared" si="26"/>
        <v>-1.5842000000000889</v>
      </c>
      <c r="F224" s="72">
        <f t="shared" si="27"/>
        <v>8.1827775992135532E-2</v>
      </c>
      <c r="G224" s="70">
        <f t="shared" si="23"/>
        <v>1.0000000000000009E-2</v>
      </c>
      <c r="H224" s="60">
        <f t="shared" si="22"/>
        <v>8.1827775992135605E-4</v>
      </c>
      <c r="I224" s="60">
        <f t="shared" si="28"/>
        <v>3.7917326455194737E-2</v>
      </c>
      <c r="J224" s="60">
        <f t="shared" si="24"/>
        <v>3.753798034851271E-2</v>
      </c>
    </row>
    <row r="225" spans="1:10" x14ac:dyDescent="0.3">
      <c r="A225" s="70">
        <f t="shared" si="25"/>
        <v>-1.77000000000005</v>
      </c>
      <c r="B225" s="60">
        <v>0</v>
      </c>
      <c r="C225" s="70">
        <v>-1.77000000000005</v>
      </c>
      <c r="D225" s="70">
        <v>1</v>
      </c>
      <c r="E225" s="71">
        <f t="shared" si="26"/>
        <v>-1.5664500000000885</v>
      </c>
      <c r="F225" s="72">
        <f t="shared" si="27"/>
        <v>8.3293186055867094E-2</v>
      </c>
      <c r="G225" s="70">
        <f t="shared" si="23"/>
        <v>1.0000000000000009E-2</v>
      </c>
      <c r="H225" s="60">
        <f t="shared" si="22"/>
        <v>8.3293186055867171E-4</v>
      </c>
      <c r="I225" s="60">
        <f t="shared" si="28"/>
        <v>3.8750258315753412E-2</v>
      </c>
      <c r="J225" s="60">
        <f t="shared" si="24"/>
        <v>3.8363570362867062E-2</v>
      </c>
    </row>
    <row r="226" spans="1:10" x14ac:dyDescent="0.3">
      <c r="A226" s="70">
        <f t="shared" si="25"/>
        <v>-1.76000000000005</v>
      </c>
      <c r="B226" s="60">
        <v>0</v>
      </c>
      <c r="C226" s="70">
        <v>-1.76000000000005</v>
      </c>
      <c r="D226" s="70">
        <v>1</v>
      </c>
      <c r="E226" s="71">
        <f t="shared" si="26"/>
        <v>-1.5488000000000879</v>
      </c>
      <c r="F226" s="72">
        <f t="shared" si="27"/>
        <v>8.4776361308014775E-2</v>
      </c>
      <c r="G226" s="70">
        <f t="shared" si="23"/>
        <v>1.0000000000000009E-2</v>
      </c>
      <c r="H226" s="60">
        <f t="shared" si="22"/>
        <v>8.4776361308014846E-4</v>
      </c>
      <c r="I226" s="60">
        <f t="shared" si="28"/>
        <v>3.9598021928833563E-2</v>
      </c>
      <c r="J226" s="60">
        <f t="shared" si="24"/>
        <v>3.9203903287478407E-2</v>
      </c>
    </row>
    <row r="227" spans="1:10" x14ac:dyDescent="0.3">
      <c r="A227" s="70">
        <f t="shared" si="25"/>
        <v>-1.75000000000005</v>
      </c>
      <c r="B227" s="60">
        <v>0</v>
      </c>
      <c r="C227" s="70">
        <v>-1.75000000000005</v>
      </c>
      <c r="D227" s="70">
        <v>1</v>
      </c>
      <c r="E227" s="71">
        <f t="shared" si="26"/>
        <v>-1.5312500000000875</v>
      </c>
      <c r="F227" s="72">
        <f t="shared" si="27"/>
        <v>8.6277318826503968E-2</v>
      </c>
      <c r="G227" s="70">
        <f t="shared" si="23"/>
        <v>1.0000000000000009E-2</v>
      </c>
      <c r="H227" s="60">
        <f t="shared" si="22"/>
        <v>8.6277318826504044E-4</v>
      </c>
      <c r="I227" s="60">
        <f t="shared" si="28"/>
        <v>4.0460795117098602E-2</v>
      </c>
      <c r="J227" s="60">
        <f t="shared" si="24"/>
        <v>4.0059156863812777E-2</v>
      </c>
    </row>
    <row r="228" spans="1:10" x14ac:dyDescent="0.3">
      <c r="A228" s="70">
        <f t="shared" si="25"/>
        <v>-1.74000000000005</v>
      </c>
      <c r="B228" s="60">
        <v>0</v>
      </c>
      <c r="C228" s="70">
        <v>-1.74000000000005</v>
      </c>
      <c r="D228" s="70">
        <v>1</v>
      </c>
      <c r="E228" s="71">
        <f t="shared" si="26"/>
        <v>-1.5138000000000869</v>
      </c>
      <c r="F228" s="72">
        <f t="shared" si="27"/>
        <v>8.7796070610898003E-2</v>
      </c>
      <c r="G228" s="70">
        <f t="shared" si="23"/>
        <v>1.0000000000000009E-2</v>
      </c>
      <c r="H228" s="60">
        <f t="shared" si="22"/>
        <v>8.7796070610898086E-4</v>
      </c>
      <c r="I228" s="60">
        <f t="shared" si="28"/>
        <v>4.1338755823207583E-2</v>
      </c>
      <c r="J228" s="60">
        <f t="shared" si="24"/>
        <v>4.092950897880298E-2</v>
      </c>
    </row>
    <row r="229" spans="1:10" x14ac:dyDescent="0.3">
      <c r="A229" s="70">
        <f t="shared" si="25"/>
        <v>-1.7300000000000499</v>
      </c>
      <c r="B229" s="60">
        <v>0</v>
      </c>
      <c r="C229" s="70">
        <v>-1.7300000000000499</v>
      </c>
      <c r="D229" s="70">
        <v>1</v>
      </c>
      <c r="E229" s="71">
        <f t="shared" si="26"/>
        <v>-1.4964500000000864</v>
      </c>
      <c r="F229" s="72">
        <f t="shared" si="27"/>
        <v>8.933262348764727E-2</v>
      </c>
      <c r="G229" s="70">
        <f t="shared" si="23"/>
        <v>1.0000000000000009E-2</v>
      </c>
      <c r="H229" s="60">
        <f t="shared" si="22"/>
        <v>8.9332623487647347E-4</v>
      </c>
      <c r="I229" s="60">
        <f t="shared" si="28"/>
        <v>4.2232082058084056E-2</v>
      </c>
      <c r="J229" s="60">
        <f t="shared" si="24"/>
        <v>4.1815137613590458E-2</v>
      </c>
    </row>
    <row r="230" spans="1:10" x14ac:dyDescent="0.3">
      <c r="A230" s="70">
        <f t="shared" si="25"/>
        <v>-1.7200000000000499</v>
      </c>
      <c r="B230" s="60">
        <v>0</v>
      </c>
      <c r="C230" s="70">
        <v>-1.7200000000000499</v>
      </c>
      <c r="D230" s="70">
        <v>1</v>
      </c>
      <c r="E230" s="71">
        <f t="shared" si="26"/>
        <v>-1.4792000000000858</v>
      </c>
      <c r="F230" s="72">
        <f t="shared" si="27"/>
        <v>9.0886979016275071E-2</v>
      </c>
      <c r="G230" s="70">
        <f t="shared" si="23"/>
        <v>1.0000000000000009E-2</v>
      </c>
      <c r="H230" s="60">
        <f t="shared" si="22"/>
        <v>9.088697901627515E-4</v>
      </c>
      <c r="I230" s="60">
        <f t="shared" si="28"/>
        <v>4.314095184824681E-2</v>
      </c>
      <c r="J230" s="60">
        <f t="shared" si="24"/>
        <v>4.271622079132438E-2</v>
      </c>
    </row>
    <row r="231" spans="1:10" x14ac:dyDescent="0.3">
      <c r="A231" s="70">
        <f t="shared" si="25"/>
        <v>-1.7100000000000499</v>
      </c>
      <c r="B231" s="60">
        <v>0</v>
      </c>
      <c r="C231" s="70">
        <v>-1.7100000000000499</v>
      </c>
      <c r="D231" s="70">
        <v>1</v>
      </c>
      <c r="E231" s="71">
        <f t="shared" si="26"/>
        <v>-1.4620500000000853</v>
      </c>
      <c r="F231" s="72">
        <f t="shared" si="27"/>
        <v>9.2459133396572774E-2</v>
      </c>
      <c r="G231" s="70">
        <f t="shared" si="23"/>
        <v>1.0000000000000009E-2</v>
      </c>
      <c r="H231" s="60">
        <f t="shared" si="22"/>
        <v>9.2459133396572855E-4</v>
      </c>
      <c r="I231" s="60">
        <f t="shared" si="28"/>
        <v>4.4065543182212535E-2</v>
      </c>
      <c r="J231" s="60">
        <f t="shared" si="24"/>
        <v>4.3632936524027291E-2</v>
      </c>
    </row>
    <row r="232" spans="1:10" x14ac:dyDescent="0.3">
      <c r="A232" s="70">
        <f t="shared" si="25"/>
        <v>-1.7000000000000499</v>
      </c>
      <c r="B232" s="60">
        <v>0</v>
      </c>
      <c r="C232" s="70">
        <v>-1.7000000000000499</v>
      </c>
      <c r="D232" s="70">
        <v>1</v>
      </c>
      <c r="E232" s="71">
        <f t="shared" si="26"/>
        <v>-1.4450000000000849</v>
      </c>
      <c r="F232" s="72">
        <f t="shared" si="27"/>
        <v>9.404907737687894E-2</v>
      </c>
      <c r="G232" s="70">
        <f t="shared" si="23"/>
        <v>1.0000000000000009E-2</v>
      </c>
      <c r="H232" s="60">
        <f t="shared" si="22"/>
        <v>9.4049077376879024E-4</v>
      </c>
      <c r="I232" s="60">
        <f t="shared" si="28"/>
        <v>4.5006033955981323E-2</v>
      </c>
      <c r="J232" s="60">
        <f t="shared" si="24"/>
        <v>4.4565462758538336E-2</v>
      </c>
    </row>
    <row r="233" spans="1:10" x14ac:dyDescent="0.3">
      <c r="A233" s="70">
        <f t="shared" si="25"/>
        <v>-1.6900000000000499</v>
      </c>
      <c r="B233" s="60">
        <v>0</v>
      </c>
      <c r="C233" s="70">
        <v>-1.6900000000000499</v>
      </c>
      <c r="D233" s="70">
        <v>1</v>
      </c>
      <c r="E233" s="71">
        <f t="shared" si="26"/>
        <v>-1.4280500000000844</v>
      </c>
      <c r="F233" s="72">
        <f t="shared" si="27"/>
        <v>9.5656796163515925E-2</v>
      </c>
      <c r="G233" s="70">
        <f t="shared" si="23"/>
        <v>1.0000000000000009E-2</v>
      </c>
      <c r="H233" s="60">
        <f t="shared" si="22"/>
        <v>9.5656796163516014E-4</v>
      </c>
      <c r="I233" s="60">
        <f t="shared" si="28"/>
        <v>4.5962601917616482E-2</v>
      </c>
      <c r="J233" s="60">
        <f t="shared" si="24"/>
        <v>4.5513977321545017E-2</v>
      </c>
    </row>
    <row r="234" spans="1:10" x14ac:dyDescent="0.3">
      <c r="A234" s="70">
        <f t="shared" si="25"/>
        <v>-1.6800000000000499</v>
      </c>
      <c r="B234" s="60">
        <v>0</v>
      </c>
      <c r="C234" s="70">
        <v>-1.6800000000000499</v>
      </c>
      <c r="D234" s="70">
        <v>1</v>
      </c>
      <c r="E234" s="71">
        <f t="shared" si="26"/>
        <v>-1.4112000000000837</v>
      </c>
      <c r="F234" s="72">
        <f t="shared" si="27"/>
        <v>9.7282269331459351E-2</v>
      </c>
      <c r="G234" s="70">
        <f t="shared" si="23"/>
        <v>9.9999999999997868E-3</v>
      </c>
      <c r="H234" s="60">
        <f t="shared" si="22"/>
        <v>9.7282269331457278E-4</v>
      </c>
      <c r="I234" s="60">
        <f t="shared" si="28"/>
        <v>4.6935424610931052E-2</v>
      </c>
      <c r="J234" s="60">
        <f t="shared" si="24"/>
        <v>4.6478657863715189E-2</v>
      </c>
    </row>
    <row r="235" spans="1:10" x14ac:dyDescent="0.3">
      <c r="A235" s="70">
        <f t="shared" si="25"/>
        <v>-1.6700000000000501</v>
      </c>
      <c r="B235" s="60">
        <v>0</v>
      </c>
      <c r="C235" s="70">
        <v>-1.6700000000000501</v>
      </c>
      <c r="D235" s="70">
        <v>1</v>
      </c>
      <c r="E235" s="71">
        <f t="shared" si="26"/>
        <v>-1.3944500000000837</v>
      </c>
      <c r="F235" s="72">
        <f t="shared" si="27"/>
        <v>9.8925470736315441E-2</v>
      </c>
      <c r="G235" s="70">
        <f t="shared" si="23"/>
        <v>1.0000000000000009E-2</v>
      </c>
      <c r="H235" s="60">
        <f t="shared" si="22"/>
        <v>9.892547073631552E-4</v>
      </c>
      <c r="I235" s="60">
        <f t="shared" si="28"/>
        <v>4.7924679318294208E-2</v>
      </c>
      <c r="J235" s="60">
        <f t="shared" si="24"/>
        <v>4.7459681802942355E-2</v>
      </c>
    </row>
    <row r="236" spans="1:10" x14ac:dyDescent="0.3">
      <c r="A236" s="70">
        <f t="shared" si="25"/>
        <v>-1.6600000000000501</v>
      </c>
      <c r="B236" s="60">
        <v>0</v>
      </c>
      <c r="C236" s="70">
        <v>-1.6600000000000501</v>
      </c>
      <c r="D236" s="70">
        <v>1</v>
      </c>
      <c r="E236" s="71">
        <f t="shared" si="26"/>
        <v>-1.3778000000000832</v>
      </c>
      <c r="F236" s="72">
        <f t="shared" si="27"/>
        <v>0.1005863684276822</v>
      </c>
      <c r="G236" s="70">
        <f t="shared" si="23"/>
        <v>1.0000000000000009E-2</v>
      </c>
      <c r="H236" s="60">
        <f t="shared" si="22"/>
        <v>1.005863684276823E-3</v>
      </c>
      <c r="I236" s="60">
        <f t="shared" si="28"/>
        <v>4.8930543002571034E-2</v>
      </c>
      <c r="J236" s="60">
        <f t="shared" si="24"/>
        <v>4.8457226266717786E-2</v>
      </c>
    </row>
    <row r="237" spans="1:10" x14ac:dyDescent="0.3">
      <c r="A237" s="70">
        <f t="shared" si="25"/>
        <v>-1.6500000000000501</v>
      </c>
      <c r="B237" s="60">
        <v>0</v>
      </c>
      <c r="C237" s="70">
        <v>-1.6500000000000501</v>
      </c>
      <c r="D237" s="70">
        <v>1</v>
      </c>
      <c r="E237" s="71">
        <f t="shared" si="26"/>
        <v>-1.3612500000000827</v>
      </c>
      <c r="F237" s="72">
        <f t="shared" si="27"/>
        <v>0.10226492456396954</v>
      </c>
      <c r="G237" s="70">
        <f t="shared" si="23"/>
        <v>1.0000000000000009E-2</v>
      </c>
      <c r="H237" s="60">
        <f t="shared" si="22"/>
        <v>1.0226492456396963E-3</v>
      </c>
      <c r="I237" s="60">
        <f t="shared" si="28"/>
        <v>4.995319224821073E-2</v>
      </c>
      <c r="J237" s="60">
        <f t="shared" si="24"/>
        <v>4.9471468033642975E-2</v>
      </c>
    </row>
    <row r="238" spans="1:10" x14ac:dyDescent="0.3">
      <c r="A238" s="70">
        <f t="shared" si="25"/>
        <v>-1.6400000000000501</v>
      </c>
      <c r="B238" s="60">
        <v>0</v>
      </c>
      <c r="C238" s="70">
        <v>-1.6400000000000501</v>
      </c>
      <c r="D238" s="70">
        <v>1</v>
      </c>
      <c r="E238" s="71">
        <f t="shared" si="26"/>
        <v>-1.3448000000000822</v>
      </c>
      <c r="F238" s="72">
        <f t="shared" si="27"/>
        <v>0.10396109532875566</v>
      </c>
      <c r="G238" s="70">
        <f t="shared" si="23"/>
        <v>1.0000000000000009E-2</v>
      </c>
      <c r="H238" s="60">
        <f t="shared" si="22"/>
        <v>1.0396109532875577E-3</v>
      </c>
      <c r="I238" s="60">
        <f t="shared" si="28"/>
        <v>5.0992803201498287E-2</v>
      </c>
      <c r="J238" s="60">
        <f t="shared" si="24"/>
        <v>5.0502583474098507E-2</v>
      </c>
    </row>
    <row r="239" spans="1:10" x14ac:dyDescent="0.3">
      <c r="A239" s="70">
        <f t="shared" si="25"/>
        <v>-1.6300000000000501</v>
      </c>
      <c r="B239" s="60">
        <v>0</v>
      </c>
      <c r="C239" s="70">
        <v>-1.6300000000000501</v>
      </c>
      <c r="D239" s="70">
        <v>1</v>
      </c>
      <c r="E239" s="71">
        <f t="shared" si="26"/>
        <v>-1.3284500000000816</v>
      </c>
      <c r="F239" s="72">
        <f t="shared" si="27"/>
        <v>0.10567483084875499</v>
      </c>
      <c r="G239" s="70">
        <f t="shared" si="23"/>
        <v>1.0000000000000009E-2</v>
      </c>
      <c r="H239" s="60">
        <f t="shared" si="22"/>
        <v>1.056748308487551E-3</v>
      </c>
      <c r="I239" s="60">
        <f t="shared" si="28"/>
        <v>5.2049551509985838E-2</v>
      </c>
      <c r="J239" s="60">
        <f t="shared" si="24"/>
        <v>5.1550748490084064E-2</v>
      </c>
    </row>
    <row r="240" spans="1:10" x14ac:dyDescent="0.3">
      <c r="A240" s="70">
        <f t="shared" si="25"/>
        <v>-1.6200000000000501</v>
      </c>
      <c r="B240" s="60">
        <v>0</v>
      </c>
      <c r="C240" s="70">
        <v>-1.6200000000000501</v>
      </c>
      <c r="D240" s="70">
        <v>1</v>
      </c>
      <c r="E240" s="71">
        <f t="shared" si="26"/>
        <v>-1.3122000000000811</v>
      </c>
      <c r="F240" s="72">
        <f t="shared" si="27"/>
        <v>0.10740607511347511</v>
      </c>
      <c r="G240" s="70">
        <f t="shared" si="23"/>
        <v>1.0000000000000009E-2</v>
      </c>
      <c r="H240" s="60">
        <f t="shared" si="22"/>
        <v>1.074060751134752E-3</v>
      </c>
      <c r="I240" s="60">
        <f t="shared" si="28"/>
        <v>5.3123612261120591E-2</v>
      </c>
      <c r="J240" s="60">
        <f t="shared" si="24"/>
        <v>5.2616138454246647E-2</v>
      </c>
    </row>
    <row r="241" spans="1:10" x14ac:dyDescent="0.3">
      <c r="A241" s="70">
        <f t="shared" si="25"/>
        <v>-1.6100000000000501</v>
      </c>
      <c r="B241" s="60">
        <v>0</v>
      </c>
      <c r="C241" s="70">
        <v>-1.6100000000000501</v>
      </c>
      <c r="D241" s="70">
        <v>1</v>
      </c>
      <c r="E241" s="71">
        <f t="shared" si="26"/>
        <v>-1.2960500000000805</v>
      </c>
      <c r="F241" s="72">
        <f t="shared" si="27"/>
        <v>0.10915476589663858</v>
      </c>
      <c r="G241" s="70">
        <f t="shared" si="23"/>
        <v>1.0000000000000009E-2</v>
      </c>
      <c r="H241" s="60">
        <f t="shared" si="22"/>
        <v>1.0915476589663869E-3</v>
      </c>
      <c r="I241" s="60">
        <f t="shared" si="28"/>
        <v>5.4215159920086978E-2</v>
      </c>
      <c r="J241" s="60">
        <f t="shared" si="24"/>
        <v>5.3698928148114215E-2</v>
      </c>
    </row>
    <row r="242" spans="1:10" x14ac:dyDescent="0.3">
      <c r="A242" s="70">
        <f t="shared" si="25"/>
        <v>-1.60000000000005</v>
      </c>
      <c r="B242" s="60">
        <v>0</v>
      </c>
      <c r="C242" s="70">
        <v>-1.60000000000005</v>
      </c>
      <c r="D242" s="70">
        <v>1</v>
      </c>
      <c r="E242" s="71">
        <f t="shared" si="26"/>
        <v>-1.2800000000000802</v>
      </c>
      <c r="F242" s="72">
        <f t="shared" si="27"/>
        <v>0.11092083467944666</v>
      </c>
      <c r="G242" s="70">
        <f t="shared" si="23"/>
        <v>1.0000000000000009E-2</v>
      </c>
      <c r="H242" s="60">
        <f t="shared" si="22"/>
        <v>1.1092083467944677E-3</v>
      </c>
      <c r="I242" s="60">
        <f t="shared" si="28"/>
        <v>5.5324368266881446E-2</v>
      </c>
      <c r="J242" s="60">
        <f t="shared" si="24"/>
        <v>5.479929169955243E-2</v>
      </c>
    </row>
    <row r="243" spans="1:10" x14ac:dyDescent="0.3">
      <c r="A243" s="70">
        <f t="shared" si="25"/>
        <v>-1.59000000000005</v>
      </c>
      <c r="B243" s="60">
        <v>0</v>
      </c>
      <c r="C243" s="70">
        <v>-1.59000000000005</v>
      </c>
      <c r="D243" s="70">
        <v>1</v>
      </c>
      <c r="E243" s="71">
        <f t="shared" si="26"/>
        <v>-1.2640500000000796</v>
      </c>
      <c r="F243" s="72">
        <f t="shared" si="27"/>
        <v>0.11270420657576159</v>
      </c>
      <c r="G243" s="70">
        <f t="shared" si="23"/>
        <v>1.0000000000000009E-2</v>
      </c>
      <c r="H243" s="60">
        <f t="shared" si="22"/>
        <v>1.127042065757617E-3</v>
      </c>
      <c r="I243" s="60">
        <f t="shared" si="28"/>
        <v>5.6451410332639063E-2</v>
      </c>
      <c r="J243" s="60">
        <f t="shared" si="24"/>
        <v>5.5917402519463796E-2</v>
      </c>
    </row>
    <row r="244" spans="1:10" x14ac:dyDescent="0.3">
      <c r="A244" s="70">
        <f t="shared" si="25"/>
        <v>-1.58000000000005</v>
      </c>
      <c r="B244" s="60">
        <v>0</v>
      </c>
      <c r="C244" s="70">
        <v>-1.58000000000005</v>
      </c>
      <c r="D244" s="70">
        <v>1</v>
      </c>
      <c r="E244" s="71">
        <f t="shared" si="26"/>
        <v>-1.248200000000079</v>
      </c>
      <c r="F244" s="72">
        <f t="shared" si="27"/>
        <v>0.11450480025928333</v>
      </c>
      <c r="G244" s="70">
        <f t="shared" si="23"/>
        <v>1.0000000000000009E-2</v>
      </c>
      <c r="H244" s="60">
        <f t="shared" si="22"/>
        <v>1.1450480025928344E-3</v>
      </c>
      <c r="I244" s="60">
        <f t="shared" si="28"/>
        <v>5.7596458335231894E-2</v>
      </c>
      <c r="J244" s="60">
        <f t="shared" si="24"/>
        <v>5.7053433237748481E-2</v>
      </c>
    </row>
    <row r="245" spans="1:10" x14ac:dyDescent="0.3">
      <c r="A245" s="70">
        <f t="shared" si="25"/>
        <v>-1.57000000000005</v>
      </c>
      <c r="B245" s="60">
        <v>0</v>
      </c>
      <c r="C245" s="70">
        <v>-1.57000000000005</v>
      </c>
      <c r="D245" s="70">
        <v>1</v>
      </c>
      <c r="E245" s="71">
        <f t="shared" si="26"/>
        <v>-1.2324500000000784</v>
      </c>
      <c r="F245" s="72">
        <f t="shared" si="27"/>
        <v>0.11632252789279797</v>
      </c>
      <c r="G245" s="70">
        <f t="shared" si="23"/>
        <v>1.0000000000000009E-2</v>
      </c>
      <c r="H245" s="60">
        <f t="shared" si="22"/>
        <v>1.1632252789279807E-3</v>
      </c>
      <c r="I245" s="60">
        <f t="shared" si="28"/>
        <v>5.8759683614159876E-2</v>
      </c>
      <c r="J245" s="60">
        <f t="shared" si="24"/>
        <v>5.8207555638547195E-2</v>
      </c>
    </row>
    <row r="246" spans="1:10" x14ac:dyDescent="0.3">
      <c r="A246" s="70">
        <f t="shared" si="25"/>
        <v>-1.56000000000005</v>
      </c>
      <c r="B246" s="60">
        <v>0</v>
      </c>
      <c r="C246" s="70">
        <v>-1.56000000000005</v>
      </c>
      <c r="D246" s="70">
        <v>1</v>
      </c>
      <c r="E246" s="71">
        <f t="shared" si="26"/>
        <v>-1.216800000000078</v>
      </c>
      <c r="F246" s="72">
        <f t="shared" si="27"/>
        <v>0.11815729505957306</v>
      </c>
      <c r="G246" s="70">
        <f t="shared" si="23"/>
        <v>1.0000000000000009E-2</v>
      </c>
      <c r="H246" s="60">
        <f t="shared" si="22"/>
        <v>1.1815729505957318E-3</v>
      </c>
      <c r="I246" s="60">
        <f t="shared" si="28"/>
        <v>5.9941256564755609E-2</v>
      </c>
      <c r="J246" s="60">
        <f t="shared" si="24"/>
        <v>5.9379940594787101E-2</v>
      </c>
    </row>
    <row r="247" spans="1:10" x14ac:dyDescent="0.3">
      <c r="A247" s="70">
        <f t="shared" si="25"/>
        <v>-1.55000000000005</v>
      </c>
      <c r="B247" s="60">
        <v>0</v>
      </c>
      <c r="C247" s="70">
        <v>-1.55000000000005</v>
      </c>
      <c r="D247" s="70">
        <v>1</v>
      </c>
      <c r="E247" s="71">
        <f t="shared" si="26"/>
        <v>-1.2012500000000774</v>
      </c>
      <c r="F247" s="72">
        <f t="shared" si="27"/>
        <v>0.1200090006969763</v>
      </c>
      <c r="G247" s="70">
        <f t="shared" si="23"/>
        <v>1.0000000000000009E-2</v>
      </c>
      <c r="H247" s="60">
        <f t="shared" si="22"/>
        <v>1.200090006969764E-3</v>
      </c>
      <c r="I247" s="60">
        <f t="shared" si="28"/>
        <v>6.1141346571725375E-2</v>
      </c>
      <c r="J247" s="60">
        <f t="shared" si="24"/>
        <v>6.0570758002053013E-2</v>
      </c>
    </row>
    <row r="248" spans="1:10" x14ac:dyDescent="0.3">
      <c r="A248" s="70">
        <f t="shared" si="25"/>
        <v>-1.54000000000005</v>
      </c>
      <c r="B248" s="60">
        <v>0</v>
      </c>
      <c r="C248" s="70">
        <v>-1.54000000000005</v>
      </c>
      <c r="D248" s="70">
        <v>1</v>
      </c>
      <c r="E248" s="71">
        <f t="shared" si="26"/>
        <v>-1.185800000000077</v>
      </c>
      <c r="F248" s="72">
        <f t="shared" si="27"/>
        <v>0.12187753703239239</v>
      </c>
      <c r="G248" s="70">
        <f t="shared" si="23"/>
        <v>1.0000000000000009E-2</v>
      </c>
      <c r="H248" s="60">
        <f t="shared" si="22"/>
        <v>1.218775370323925E-3</v>
      </c>
      <c r="I248" s="60">
        <f t="shared" si="28"/>
        <v>6.2360121942049297E-2</v>
      </c>
      <c r="J248" s="60">
        <f t="shared" si="24"/>
        <v>6.1780176711805801E-2</v>
      </c>
    </row>
    <row r="249" spans="1:10" x14ac:dyDescent="0.3">
      <c r="A249" s="70">
        <f t="shared" si="25"/>
        <v>-1.53000000000005</v>
      </c>
      <c r="B249" s="60">
        <v>0</v>
      </c>
      <c r="C249" s="70">
        <v>-1.53000000000005</v>
      </c>
      <c r="D249" s="70">
        <v>1</v>
      </c>
      <c r="E249" s="71">
        <f t="shared" si="26"/>
        <v>-1.1704500000000764</v>
      </c>
      <c r="F249" s="72">
        <f t="shared" si="27"/>
        <v>0.12376278952151368</v>
      </c>
      <c r="G249" s="70">
        <f t="shared" si="23"/>
        <v>1.0000000000000009E-2</v>
      </c>
      <c r="H249" s="60">
        <f t="shared" si="22"/>
        <v>1.237627895215138E-3</v>
      </c>
      <c r="I249" s="60">
        <f t="shared" si="28"/>
        <v>6.3597749837264433E-2</v>
      </c>
      <c r="J249" s="60">
        <f t="shared" si="24"/>
        <v>6.3008364463972205E-2</v>
      </c>
    </row>
    <row r="250" spans="1:10" x14ac:dyDescent="0.3">
      <c r="A250" s="70">
        <f t="shared" si="25"/>
        <v>-1.52000000000005</v>
      </c>
      <c r="B250" s="60">
        <v>0</v>
      </c>
      <c r="C250" s="70">
        <v>-1.52000000000005</v>
      </c>
      <c r="D250" s="70">
        <v>1</v>
      </c>
      <c r="E250" s="71">
        <f t="shared" si="26"/>
        <v>-1.1552000000000759</v>
      </c>
      <c r="F250" s="72">
        <f t="shared" si="27"/>
        <v>0.1256646367890786</v>
      </c>
      <c r="G250" s="70">
        <f t="shared" si="23"/>
        <v>1.0000000000000009E-2</v>
      </c>
      <c r="H250" s="60">
        <f t="shared" si="22"/>
        <v>1.2566463678907872E-3</v>
      </c>
      <c r="I250" s="60">
        <f t="shared" si="28"/>
        <v>6.4854396205155221E-2</v>
      </c>
      <c r="J250" s="60">
        <f t="shared" si="24"/>
        <v>6.4255487818929508E-2</v>
      </c>
    </row>
    <row r="251" spans="1:10" x14ac:dyDescent="0.3">
      <c r="A251" s="70">
        <f t="shared" si="25"/>
        <v>-1.51000000000005</v>
      </c>
      <c r="B251" s="60">
        <v>0</v>
      </c>
      <c r="C251" s="70">
        <v>-1.51000000000005</v>
      </c>
      <c r="D251" s="70">
        <v>1</v>
      </c>
      <c r="E251" s="71">
        <f t="shared" si="26"/>
        <v>-1.1400500000000755</v>
      </c>
      <c r="F251" s="72">
        <f t="shared" si="27"/>
        <v>0.12758295057213223</v>
      </c>
      <c r="G251" s="70">
        <f t="shared" si="23"/>
        <v>1.0000000000000009E-2</v>
      </c>
      <c r="H251" s="60">
        <f t="shared" si="22"/>
        <v>1.2758295057213234E-3</v>
      </c>
      <c r="I251" s="60">
        <f t="shared" si="28"/>
        <v>6.6130225710876539E-2</v>
      </c>
      <c r="J251" s="60">
        <f t="shared" si="24"/>
        <v>6.5521712088910097E-2</v>
      </c>
    </row>
    <row r="252" spans="1:10" x14ac:dyDescent="0.3">
      <c r="A252" s="70">
        <f t="shared" si="25"/>
        <v>-1.50000000000005</v>
      </c>
      <c r="B252" s="60">
        <v>0</v>
      </c>
      <c r="C252" s="70">
        <v>-1.50000000000005</v>
      </c>
      <c r="D252" s="70">
        <v>1</v>
      </c>
      <c r="E252" s="71">
        <f t="shared" si="26"/>
        <v>-1.1250000000000751</v>
      </c>
      <c r="F252" s="72">
        <f t="shared" si="27"/>
        <v>0.12951759566588203</v>
      </c>
      <c r="G252" s="70">
        <f t="shared" si="23"/>
        <v>1.0000000000000009E-2</v>
      </c>
      <c r="H252" s="60">
        <f t="shared" si="22"/>
        <v>1.2951759566588214E-3</v>
      </c>
      <c r="I252" s="60">
        <f t="shared" si="28"/>
        <v>6.7425401667535356E-2</v>
      </c>
      <c r="J252" s="60">
        <f t="shared" si="24"/>
        <v>6.6807201268851577E-2</v>
      </c>
    </row>
    <row r="253" spans="1:10" x14ac:dyDescent="0.3">
      <c r="A253" s="70">
        <f t="shared" si="25"/>
        <v>-1.49000000000005</v>
      </c>
      <c r="B253" s="60">
        <v>0</v>
      </c>
      <c r="C253" s="70">
        <v>-1.49000000000005</v>
      </c>
      <c r="D253" s="70">
        <v>1</v>
      </c>
      <c r="E253" s="71">
        <f t="shared" si="26"/>
        <v>-1.1100500000000744</v>
      </c>
      <c r="F253" s="72">
        <f t="shared" si="27"/>
        <v>0.13146842987222127</v>
      </c>
      <c r="G253" s="70">
        <f t="shared" si="23"/>
        <v>1.0000000000000009E-2</v>
      </c>
      <c r="H253" s="60">
        <f t="shared" si="22"/>
        <v>1.3146842987222138E-3</v>
      </c>
      <c r="I253" s="60">
        <f t="shared" si="28"/>
        <v>6.8740085966257566E-2</v>
      </c>
      <c r="J253" s="60">
        <f t="shared" si="24"/>
        <v>6.8112117966718885E-2</v>
      </c>
    </row>
    <row r="254" spans="1:10" x14ac:dyDescent="0.3">
      <c r="A254" s="70">
        <f t="shared" si="25"/>
        <v>-1.4800000000000499</v>
      </c>
      <c r="B254" s="60">
        <v>0</v>
      </c>
      <c r="C254" s="70">
        <v>-1.4800000000000499</v>
      </c>
      <c r="D254" s="70">
        <v>1</v>
      </c>
      <c r="E254" s="71">
        <f t="shared" si="26"/>
        <v>-1.0952000000000739</v>
      </c>
      <c r="F254" s="72">
        <f t="shared" si="27"/>
        <v>0.13343530395099243</v>
      </c>
      <c r="G254" s="70">
        <f t="shared" si="23"/>
        <v>1.0000000000000009E-2</v>
      </c>
      <c r="H254" s="60">
        <f t="shared" si="22"/>
        <v>1.3343530395099254E-3</v>
      </c>
      <c r="I254" s="60">
        <f t="shared" si="28"/>
        <v>7.0074439005767486E-2</v>
      </c>
      <c r="J254" s="60">
        <f t="shared" si="24"/>
        <v>6.9436623333325051E-2</v>
      </c>
    </row>
    <row r="255" spans="1:10" x14ac:dyDescent="0.3">
      <c r="A255" s="70">
        <f t="shared" si="25"/>
        <v>-1.4700000000000499</v>
      </c>
      <c r="B255" s="60">
        <v>0</v>
      </c>
      <c r="C255" s="70">
        <v>-1.4700000000000499</v>
      </c>
      <c r="D255" s="70">
        <v>1</v>
      </c>
      <c r="E255" s="71">
        <f t="shared" si="26"/>
        <v>-1.0804500000000734</v>
      </c>
      <c r="F255" s="72">
        <f t="shared" si="27"/>
        <v>0.13541806157406133</v>
      </c>
      <c r="G255" s="70">
        <f t="shared" si="23"/>
        <v>1.0000000000000009E-2</v>
      </c>
      <c r="H255" s="60">
        <f t="shared" si="22"/>
        <v>1.3541806157406145E-3</v>
      </c>
      <c r="I255" s="60">
        <f t="shared" si="28"/>
        <v>7.1428619621508094E-2</v>
      </c>
      <c r="J255" s="60">
        <f t="shared" si="24"/>
        <v>7.0780876991678787E-2</v>
      </c>
    </row>
    <row r="256" spans="1:10" x14ac:dyDescent="0.3">
      <c r="A256" s="70">
        <f t="shared" si="25"/>
        <v>-1.4600000000000499</v>
      </c>
      <c r="B256" s="60">
        <v>0</v>
      </c>
      <c r="C256" s="70">
        <v>-1.4600000000000499</v>
      </c>
      <c r="D256" s="70">
        <v>1</v>
      </c>
      <c r="E256" s="71">
        <f t="shared" si="26"/>
        <v>-1.0658000000000729</v>
      </c>
      <c r="F256" s="72">
        <f t="shared" si="27"/>
        <v>0.13741653928227174</v>
      </c>
      <c r="G256" s="70">
        <f t="shared" si="23"/>
        <v>1.0000000000000009E-2</v>
      </c>
      <c r="H256" s="60">
        <f t="shared" ref="H256:H319" si="29">F256*G256</f>
        <v>1.3741653928227187E-3</v>
      </c>
      <c r="I256" s="60">
        <f t="shared" si="28"/>
        <v>7.2802785014330809E-2</v>
      </c>
      <c r="J256" s="60">
        <f t="shared" si="24"/>
        <v>7.2145036965886894E-2</v>
      </c>
    </row>
    <row r="257" spans="1:10" x14ac:dyDescent="0.3">
      <c r="A257" s="70">
        <f t="shared" si="25"/>
        <v>-1.4500000000000499</v>
      </c>
      <c r="B257" s="60">
        <v>0</v>
      </c>
      <c r="C257" s="70">
        <v>-1.4500000000000499</v>
      </c>
      <c r="D257" s="70">
        <v>1</v>
      </c>
      <c r="E257" s="71">
        <f t="shared" si="26"/>
        <v>-1.0512500000000724</v>
      </c>
      <c r="F257" s="72">
        <f t="shared" si="27"/>
        <v>0.13943056644535018</v>
      </c>
      <c r="G257" s="70">
        <f t="shared" si="23"/>
        <v>1.0000000000000009E-2</v>
      </c>
      <c r="H257" s="60">
        <f t="shared" si="29"/>
        <v>1.394305664453503E-3</v>
      </c>
      <c r="I257" s="60">
        <f t="shared" si="28"/>
        <v>7.4197090678784314E-2</v>
      </c>
      <c r="J257" s="60">
        <f t="shared" si="24"/>
        <v>7.3529259609641379E-2</v>
      </c>
    </row>
    <row r="258" spans="1:10" x14ac:dyDescent="0.3">
      <c r="A258" s="70">
        <f t="shared" si="25"/>
        <v>-1.4400000000000499</v>
      </c>
      <c r="B258" s="60">
        <v>0</v>
      </c>
      <c r="C258" s="70">
        <v>-1.4400000000000499</v>
      </c>
      <c r="D258" s="70">
        <v>1</v>
      </c>
      <c r="E258" s="71">
        <f t="shared" si="26"/>
        <v>-1.0368000000000719</v>
      </c>
      <c r="F258" s="72">
        <f t="shared" si="27"/>
        <v>0.14145996522482862</v>
      </c>
      <c r="G258" s="70">
        <f t="shared" ref="G258:G321" si="30">C259-C258</f>
        <v>1.0000000000000009E-2</v>
      </c>
      <c r="H258" s="60">
        <f t="shared" si="29"/>
        <v>1.4145996522482874E-3</v>
      </c>
      <c r="I258" s="60">
        <f t="shared" si="28"/>
        <v>7.5611690331032599E-2</v>
      </c>
      <c r="J258" s="60">
        <f t="shared" ref="J258:J321" si="31">NORMSDIST(C258)</f>
        <v>7.4933699534319997E-2</v>
      </c>
    </row>
    <row r="259" spans="1:10" x14ac:dyDescent="0.3">
      <c r="A259" s="70">
        <f t="shared" ref="A259:A322" si="32">B259+C259</f>
        <v>-1.4300000000000499</v>
      </c>
      <c r="B259" s="60">
        <v>0</v>
      </c>
      <c r="C259" s="70">
        <v>-1.4300000000000499</v>
      </c>
      <c r="D259" s="70">
        <v>1</v>
      </c>
      <c r="E259" s="71">
        <f t="shared" ref="E259:E322" si="33">-(A259-B259)*(A259-B259)/2</f>
        <v>-1.0224500000000714</v>
      </c>
      <c r="F259" s="72">
        <f t="shared" ref="F259:F322" si="34">(1/SQRT(2*PI()))*(EXP(E259))</f>
        <v>0.14350455054005218</v>
      </c>
      <c r="G259" s="70">
        <f t="shared" si="30"/>
        <v>9.9999999999997868E-3</v>
      </c>
      <c r="H259" s="60">
        <f t="shared" si="29"/>
        <v>1.4350455054004912E-3</v>
      </c>
      <c r="I259" s="60">
        <f t="shared" si="28"/>
        <v>7.7046735836433095E-2</v>
      </c>
      <c r="J259" s="60">
        <f t="shared" si="31"/>
        <v>7.6358509536731914E-2</v>
      </c>
    </row>
    <row r="260" spans="1:10" x14ac:dyDescent="0.3">
      <c r="A260" s="70">
        <f t="shared" si="32"/>
        <v>-1.4200000000000501</v>
      </c>
      <c r="B260" s="60">
        <v>0</v>
      </c>
      <c r="C260" s="70">
        <v>-1.4200000000000501</v>
      </c>
      <c r="D260" s="70">
        <v>1</v>
      </c>
      <c r="E260" s="71">
        <f t="shared" si="33"/>
        <v>-1.0082000000000713</v>
      </c>
      <c r="F260" s="72">
        <f t="shared" si="34"/>
        <v>0.14556413003733723</v>
      </c>
      <c r="G260" s="70">
        <f t="shared" si="30"/>
        <v>9.9999999999900169E-3</v>
      </c>
      <c r="H260" s="60">
        <f t="shared" si="29"/>
        <v>1.4556413003719191E-3</v>
      </c>
      <c r="I260" s="60">
        <f t="shared" si="28"/>
        <v>7.850237713680501E-2</v>
      </c>
      <c r="J260" s="60">
        <f t="shared" si="31"/>
        <v>7.7803840526539117E-2</v>
      </c>
    </row>
    <row r="261" spans="1:10" x14ac:dyDescent="0.3">
      <c r="A261" s="70">
        <f t="shared" si="32"/>
        <v>-1.4100000000000601</v>
      </c>
      <c r="B261" s="60">
        <v>0</v>
      </c>
      <c r="C261" s="70">
        <v>-1.4100000000000601</v>
      </c>
      <c r="D261" s="70">
        <v>1</v>
      </c>
      <c r="E261" s="71">
        <f t="shared" si="33"/>
        <v>-0.9940500000000847</v>
      </c>
      <c r="F261" s="72">
        <f t="shared" si="34"/>
        <v>0.14763850406234322</v>
      </c>
      <c r="G261" s="70">
        <f t="shared" si="30"/>
        <v>1.0000000000000009E-2</v>
      </c>
      <c r="H261" s="60">
        <f t="shared" si="29"/>
        <v>1.4763850406234334E-3</v>
      </c>
      <c r="I261" s="60">
        <f t="shared" ref="I261:I324" si="35">H261+I260</f>
        <v>7.9978762177428442E-2</v>
      </c>
      <c r="J261" s="60">
        <f t="shared" si="31"/>
        <v>7.9269841453383505E-2</v>
      </c>
    </row>
    <row r="262" spans="1:10" x14ac:dyDescent="0.3">
      <c r="A262" s="70">
        <f t="shared" si="32"/>
        <v>-1.4000000000000601</v>
      </c>
      <c r="B262" s="60">
        <v>0</v>
      </c>
      <c r="C262" s="70">
        <v>-1.4000000000000601</v>
      </c>
      <c r="D262" s="70">
        <v>1</v>
      </c>
      <c r="E262" s="71">
        <f t="shared" si="33"/>
        <v>-0.98000000000008414</v>
      </c>
      <c r="F262" s="72">
        <f t="shared" si="34"/>
        <v>0.14972746563573228</v>
      </c>
      <c r="G262" s="70">
        <f t="shared" si="30"/>
        <v>1.0000000000000009E-2</v>
      </c>
      <c r="H262" s="60">
        <f t="shared" si="29"/>
        <v>1.497274656357324E-3</v>
      </c>
      <c r="I262" s="60">
        <f t="shared" si="35"/>
        <v>8.1476036833785764E-2</v>
      </c>
      <c r="J262" s="60">
        <f t="shared" si="31"/>
        <v>8.0756659233762032E-2</v>
      </c>
    </row>
    <row r="263" spans="1:10" x14ac:dyDescent="0.3">
      <c r="A263" s="70">
        <f t="shared" si="32"/>
        <v>-1.3900000000000601</v>
      </c>
      <c r="B263" s="60">
        <v>0</v>
      </c>
      <c r="C263" s="70">
        <v>-1.3900000000000601</v>
      </c>
      <c r="D263" s="70">
        <v>1</v>
      </c>
      <c r="E263" s="71">
        <f t="shared" si="33"/>
        <v>-0.96605000000008345</v>
      </c>
      <c r="F263" s="72">
        <f t="shared" si="34"/>
        <v>0.151830800432149</v>
      </c>
      <c r="G263" s="70">
        <f t="shared" si="30"/>
        <v>1.0000000000000009E-2</v>
      </c>
      <c r="H263" s="60">
        <f t="shared" si="29"/>
        <v>1.5183080043214914E-3</v>
      </c>
      <c r="I263" s="60">
        <f t="shared" si="35"/>
        <v>8.2994344838107262E-2</v>
      </c>
      <c r="J263" s="60">
        <f t="shared" si="31"/>
        <v>8.2264438677659826E-2</v>
      </c>
    </row>
    <row r="264" spans="1:10" x14ac:dyDescent="0.3">
      <c r="A264" s="70">
        <f t="shared" si="32"/>
        <v>-1.3800000000000601</v>
      </c>
      <c r="B264" s="60">
        <v>0</v>
      </c>
      <c r="C264" s="70">
        <v>-1.3800000000000601</v>
      </c>
      <c r="D264" s="70">
        <v>1</v>
      </c>
      <c r="E264" s="71">
        <f t="shared" si="33"/>
        <v>-0.95220000000008287</v>
      </c>
      <c r="F264" s="72">
        <f t="shared" si="34"/>
        <v>0.15394828676262096</v>
      </c>
      <c r="G264" s="70">
        <f t="shared" si="30"/>
        <v>1.0000000000000009E-2</v>
      </c>
      <c r="H264" s="60">
        <f t="shared" si="29"/>
        <v>1.5394828676262109E-3</v>
      </c>
      <c r="I264" s="60">
        <f t="shared" si="35"/>
        <v>8.4533827705733477E-2</v>
      </c>
      <c r="J264" s="60">
        <f t="shared" si="31"/>
        <v>8.3793322415004992E-2</v>
      </c>
    </row>
    <row r="265" spans="1:10" x14ac:dyDescent="0.3">
      <c r="A265" s="70">
        <f t="shared" si="32"/>
        <v>-1.3700000000000601</v>
      </c>
      <c r="B265" s="60">
        <v>0</v>
      </c>
      <c r="C265" s="70">
        <v>-1.3700000000000601</v>
      </c>
      <c r="D265" s="70">
        <v>1</v>
      </c>
      <c r="E265" s="71">
        <f t="shared" si="33"/>
        <v>-0.93845000000008227</v>
      </c>
      <c r="F265" s="72">
        <f t="shared" si="34"/>
        <v>0.15607969556040802</v>
      </c>
      <c r="G265" s="70">
        <f t="shared" si="30"/>
        <v>1.0000000000000009E-2</v>
      </c>
      <c r="H265" s="60">
        <f t="shared" si="29"/>
        <v>1.5607969556040815E-3</v>
      </c>
      <c r="I265" s="60">
        <f t="shared" si="35"/>
        <v>8.6094624661337563E-2</v>
      </c>
      <c r="J265" s="60">
        <f t="shared" si="31"/>
        <v>8.5343450821957587E-2</v>
      </c>
    </row>
    <row r="266" spans="1:10" x14ac:dyDescent="0.3">
      <c r="A266" s="70">
        <f t="shared" si="32"/>
        <v>-1.36000000000006</v>
      </c>
      <c r="B266" s="60">
        <v>0</v>
      </c>
      <c r="C266" s="70">
        <v>-1.36000000000006</v>
      </c>
      <c r="D266" s="70">
        <v>1</v>
      </c>
      <c r="E266" s="71">
        <f t="shared" si="33"/>
        <v>-0.92480000000008167</v>
      </c>
      <c r="F266" s="72">
        <f t="shared" si="34"/>
        <v>0.15822479037037013</v>
      </c>
      <c r="G266" s="70">
        <f t="shared" si="30"/>
        <v>1.0000000000000009E-2</v>
      </c>
      <c r="H266" s="60">
        <f t="shared" si="29"/>
        <v>1.5822479037037027E-3</v>
      </c>
      <c r="I266" s="60">
        <f t="shared" si="35"/>
        <v>8.7676872565041267E-2</v>
      </c>
      <c r="J266" s="60">
        <f t="shared" si="31"/>
        <v>8.69149619470755E-2</v>
      </c>
    </row>
    <row r="267" spans="1:10" x14ac:dyDescent="0.3">
      <c r="A267" s="70">
        <f t="shared" si="32"/>
        <v>-1.35000000000006</v>
      </c>
      <c r="B267" s="60">
        <v>0</v>
      </c>
      <c r="C267" s="70">
        <v>-1.35000000000006</v>
      </c>
      <c r="D267" s="70">
        <v>1</v>
      </c>
      <c r="E267" s="71">
        <f t="shared" si="33"/>
        <v>-0.91125000000008105</v>
      </c>
      <c r="F267" s="72">
        <f t="shared" si="34"/>
        <v>0.16038332734190658</v>
      </c>
      <c r="G267" s="70">
        <f t="shared" si="30"/>
        <v>1.0000000000000009E-2</v>
      </c>
      <c r="H267" s="60">
        <f t="shared" si="29"/>
        <v>1.6038332734190672E-3</v>
      </c>
      <c r="I267" s="60">
        <f t="shared" si="35"/>
        <v>8.9280705838460331E-2</v>
      </c>
      <c r="J267" s="60">
        <f t="shared" si="31"/>
        <v>8.850799143739238E-2</v>
      </c>
    </row>
    <row r="268" spans="1:10" x14ac:dyDescent="0.3">
      <c r="A268" s="70">
        <f t="shared" si="32"/>
        <v>-1.34000000000006</v>
      </c>
      <c r="B268" s="60">
        <v>0</v>
      </c>
      <c r="C268" s="70">
        <v>-1.34000000000006</v>
      </c>
      <c r="D268" s="70">
        <v>1</v>
      </c>
      <c r="E268" s="71">
        <f t="shared" si="33"/>
        <v>-0.89780000000008042</v>
      </c>
      <c r="F268" s="72">
        <f t="shared" si="34"/>
        <v>0.16255505522552108</v>
      </c>
      <c r="G268" s="70">
        <f t="shared" si="30"/>
        <v>1.0000000000000009E-2</v>
      </c>
      <c r="H268" s="60">
        <f t="shared" si="29"/>
        <v>1.6255505522552122E-3</v>
      </c>
      <c r="I268" s="60">
        <f t="shared" si="35"/>
        <v>9.0906256390715548E-2</v>
      </c>
      <c r="J268" s="60">
        <f t="shared" si="31"/>
        <v>9.0122672464442707E-2</v>
      </c>
    </row>
    <row r="269" spans="1:10" x14ac:dyDescent="0.3">
      <c r="A269" s="70">
        <f t="shared" si="32"/>
        <v>-1.33000000000006</v>
      </c>
      <c r="B269" s="60">
        <v>0</v>
      </c>
      <c r="C269" s="70">
        <v>-1.33000000000006</v>
      </c>
      <c r="D269" s="70">
        <v>1</v>
      </c>
      <c r="E269" s="71">
        <f t="shared" si="33"/>
        <v>-0.88445000000007978</v>
      </c>
      <c r="F269" s="72">
        <f t="shared" si="34"/>
        <v>0.16473971537306367</v>
      </c>
      <c r="G269" s="70">
        <f t="shared" si="30"/>
        <v>1.0000000000000009E-2</v>
      </c>
      <c r="H269" s="60">
        <f t="shared" si="29"/>
        <v>1.6473971537306381E-3</v>
      </c>
      <c r="I269" s="60">
        <f t="shared" si="35"/>
        <v>9.2553653544446182E-2</v>
      </c>
      <c r="J269" s="60">
        <f t="shared" si="31"/>
        <v>9.1759135650270926E-2</v>
      </c>
    </row>
    <row r="270" spans="1:10" x14ac:dyDescent="0.3">
      <c r="A270" s="70">
        <f t="shared" si="32"/>
        <v>-1.32000000000006</v>
      </c>
      <c r="B270" s="60">
        <v>0</v>
      </c>
      <c r="C270" s="70">
        <v>-1.32000000000006</v>
      </c>
      <c r="D270" s="70">
        <v>1</v>
      </c>
      <c r="E270" s="71">
        <f t="shared" si="33"/>
        <v>-0.87120000000007924</v>
      </c>
      <c r="F270" s="72">
        <f t="shared" si="34"/>
        <v>0.1669370417417006</v>
      </c>
      <c r="G270" s="70">
        <f t="shared" si="30"/>
        <v>1.0000000000000009E-2</v>
      </c>
      <c r="H270" s="60">
        <f t="shared" si="29"/>
        <v>1.6693704174170075E-3</v>
      </c>
      <c r="I270" s="60">
        <f t="shared" si="35"/>
        <v>9.4223023961863189E-2</v>
      </c>
      <c r="J270" s="60">
        <f t="shared" si="31"/>
        <v>9.3417508993461781E-2</v>
      </c>
    </row>
    <row r="271" spans="1:10" x14ac:dyDescent="0.3">
      <c r="A271" s="70">
        <f t="shared" si="32"/>
        <v>-1.31000000000006</v>
      </c>
      <c r="B271" s="60">
        <v>0</v>
      </c>
      <c r="C271" s="70">
        <v>-1.31000000000006</v>
      </c>
      <c r="D271" s="70">
        <v>1</v>
      </c>
      <c r="E271" s="71">
        <f t="shared" si="33"/>
        <v>-0.85805000000007858</v>
      </c>
      <c r="F271" s="72">
        <f t="shared" si="34"/>
        <v>0.16914676090165912</v>
      </c>
      <c r="G271" s="70">
        <f t="shared" si="30"/>
        <v>1.0000000000000009E-2</v>
      </c>
      <c r="H271" s="60">
        <f t="shared" si="29"/>
        <v>1.6914676090165927E-3</v>
      </c>
      <c r="I271" s="60">
        <f t="shared" si="35"/>
        <v>9.5914491570879779E-2</v>
      </c>
      <c r="J271" s="60">
        <f t="shared" si="31"/>
        <v>9.5097917795228859E-2</v>
      </c>
    </row>
    <row r="272" spans="1:10" x14ac:dyDescent="0.3">
      <c r="A272" s="70">
        <f t="shared" si="32"/>
        <v>-1.30000000000006</v>
      </c>
      <c r="B272" s="60">
        <v>0</v>
      </c>
      <c r="C272" s="70">
        <v>-1.30000000000006</v>
      </c>
      <c r="D272" s="70">
        <v>1</v>
      </c>
      <c r="E272" s="71">
        <f t="shared" si="33"/>
        <v>-0.84500000000007802</v>
      </c>
      <c r="F272" s="72">
        <f t="shared" si="34"/>
        <v>0.17136859204779401</v>
      </c>
      <c r="G272" s="70">
        <f t="shared" si="30"/>
        <v>1.0000000000000009E-2</v>
      </c>
      <c r="H272" s="60">
        <f t="shared" si="29"/>
        <v>1.7136859204779416E-3</v>
      </c>
      <c r="I272" s="60">
        <f t="shared" si="35"/>
        <v>9.7628177491357715E-2</v>
      </c>
      <c r="J272" s="60">
        <f t="shared" si="31"/>
        <v>9.6800484585600005E-2</v>
      </c>
    </row>
    <row r="273" spans="1:10" x14ac:dyDescent="0.3">
      <c r="A273" s="70">
        <f t="shared" si="32"/>
        <v>-1.29000000000006</v>
      </c>
      <c r="B273" s="60">
        <v>0</v>
      </c>
      <c r="C273" s="70">
        <v>-1.29000000000006</v>
      </c>
      <c r="D273" s="70">
        <v>1</v>
      </c>
      <c r="E273" s="71">
        <f t="shared" si="33"/>
        <v>-0.83205000000007734</v>
      </c>
      <c r="F273" s="72">
        <f t="shared" si="34"/>
        <v>0.17360224701501956</v>
      </c>
      <c r="G273" s="70">
        <f t="shared" si="30"/>
        <v>1.0000000000000009E-2</v>
      </c>
      <c r="H273" s="60">
        <f t="shared" si="29"/>
        <v>1.736022470150197E-3</v>
      </c>
      <c r="I273" s="60">
        <f t="shared" si="35"/>
        <v>9.9364199961507915E-2</v>
      </c>
      <c r="J273" s="60">
        <f t="shared" si="31"/>
        <v>9.8525329049737431E-2</v>
      </c>
    </row>
    <row r="274" spans="1:10" x14ac:dyDescent="0.3">
      <c r="A274" s="70">
        <f t="shared" si="32"/>
        <v>-1.28000000000006</v>
      </c>
      <c r="B274" s="60">
        <v>0</v>
      </c>
      <c r="C274" s="70">
        <v>-1.28000000000006</v>
      </c>
      <c r="D274" s="70">
        <v>1</v>
      </c>
      <c r="E274" s="71">
        <f t="shared" si="33"/>
        <v>-0.81920000000007676</v>
      </c>
      <c r="F274" s="72">
        <f t="shared" si="34"/>
        <v>0.17584743029764888</v>
      </c>
      <c r="G274" s="70">
        <f t="shared" si="30"/>
        <v>1.0000000000000009E-2</v>
      </c>
      <c r="H274" s="60">
        <f t="shared" si="29"/>
        <v>1.7584743029764904E-3</v>
      </c>
      <c r="I274" s="60">
        <f t="shared" si="35"/>
        <v>0.1011226742644844</v>
      </c>
      <c r="J274" s="60">
        <f t="shared" si="31"/>
        <v>0.10027256795443155</v>
      </c>
    </row>
    <row r="275" spans="1:10" x14ac:dyDescent="0.3">
      <c r="A275" s="70">
        <f t="shared" si="32"/>
        <v>-1.27000000000006</v>
      </c>
      <c r="B275" s="60">
        <v>0</v>
      </c>
      <c r="C275" s="70">
        <v>-1.27000000000006</v>
      </c>
      <c r="D275" s="70">
        <v>1</v>
      </c>
      <c r="E275" s="71">
        <f t="shared" si="33"/>
        <v>-0.80645000000007616</v>
      </c>
      <c r="F275" s="72">
        <f t="shared" si="34"/>
        <v>0.17810383907268001</v>
      </c>
      <c r="G275" s="70">
        <f t="shared" si="30"/>
        <v>1.0000000000000009E-2</v>
      </c>
      <c r="H275" s="60">
        <f t="shared" si="29"/>
        <v>1.7810383907268018E-3</v>
      </c>
      <c r="I275" s="60">
        <f t="shared" si="35"/>
        <v>0.1029037126552112</v>
      </c>
      <c r="J275" s="60">
        <f t="shared" si="31"/>
        <v>0.10204231507480845</v>
      </c>
    </row>
    <row r="276" spans="1:10" x14ac:dyDescent="0.3">
      <c r="A276" s="70">
        <f t="shared" si="32"/>
        <v>-1.26000000000006</v>
      </c>
      <c r="B276" s="60">
        <v>0</v>
      </c>
      <c r="C276" s="70">
        <v>-1.26000000000006</v>
      </c>
      <c r="D276" s="70">
        <v>1</v>
      </c>
      <c r="E276" s="71">
        <f t="shared" si="33"/>
        <v>-0.79380000000007556</v>
      </c>
      <c r="F276" s="72">
        <f t="shared" si="34"/>
        <v>0.1803711632270667</v>
      </c>
      <c r="G276" s="70">
        <f t="shared" si="30"/>
        <v>1.0000000000000009E-2</v>
      </c>
      <c r="H276" s="60">
        <f t="shared" si="29"/>
        <v>1.8037116322706687E-3</v>
      </c>
      <c r="I276" s="60">
        <f t="shared" si="35"/>
        <v>0.10470742428748187</v>
      </c>
      <c r="J276" s="60">
        <f t="shared" si="31"/>
        <v>0.10383468112128957</v>
      </c>
    </row>
    <row r="277" spans="1:10" x14ac:dyDescent="0.3">
      <c r="A277" s="70">
        <f t="shared" si="32"/>
        <v>-1.25000000000006</v>
      </c>
      <c r="B277" s="60">
        <v>0</v>
      </c>
      <c r="C277" s="70">
        <v>-1.25000000000006</v>
      </c>
      <c r="D277" s="70">
        <v>1</v>
      </c>
      <c r="E277" s="71">
        <f t="shared" si="33"/>
        <v>-0.78125000000007494</v>
      </c>
      <c r="F277" s="72">
        <f t="shared" si="34"/>
        <v>0.18264908538900823</v>
      </c>
      <c r="G277" s="70">
        <f t="shared" si="30"/>
        <v>1.0000000000000009E-2</v>
      </c>
      <c r="H277" s="60">
        <f t="shared" si="29"/>
        <v>1.8264908538900839E-3</v>
      </c>
      <c r="I277" s="60">
        <f t="shared" si="35"/>
        <v>0.10653391514137195</v>
      </c>
      <c r="J277" s="60">
        <f t="shared" si="31"/>
        <v>0.10564977366684429</v>
      </c>
    </row>
    <row r="278" spans="1:10" x14ac:dyDescent="0.3">
      <c r="A278" s="70">
        <f t="shared" si="32"/>
        <v>-1.2400000000000599</v>
      </c>
      <c r="B278" s="60">
        <v>0</v>
      </c>
      <c r="C278" s="70">
        <v>-1.2400000000000599</v>
      </c>
      <c r="D278" s="70">
        <v>1</v>
      </c>
      <c r="E278" s="71">
        <f t="shared" si="33"/>
        <v>-0.76880000000007431</v>
      </c>
      <c r="F278" s="72">
        <f t="shared" si="34"/>
        <v>0.18493728096329157</v>
      </c>
      <c r="G278" s="70">
        <f t="shared" si="30"/>
        <v>1.0000000000000009E-2</v>
      </c>
      <c r="H278" s="60">
        <f t="shared" si="29"/>
        <v>1.8493728096329173E-3</v>
      </c>
      <c r="I278" s="60">
        <f t="shared" si="35"/>
        <v>0.10838328795100487</v>
      </c>
      <c r="J278" s="60">
        <f t="shared" si="31"/>
        <v>0.10748769707457581</v>
      </c>
    </row>
    <row r="279" spans="1:10" x14ac:dyDescent="0.3">
      <c r="A279" s="70">
        <f t="shared" si="32"/>
        <v>-1.2300000000000599</v>
      </c>
      <c r="B279" s="60">
        <v>0</v>
      </c>
      <c r="C279" s="70">
        <v>-1.2300000000000599</v>
      </c>
      <c r="D279" s="70">
        <v>1</v>
      </c>
      <c r="E279" s="71">
        <f t="shared" si="33"/>
        <v>-0.75645000000007367</v>
      </c>
      <c r="F279" s="72">
        <f t="shared" si="34"/>
        <v>0.18723541817071573</v>
      </c>
      <c r="G279" s="70">
        <f t="shared" si="30"/>
        <v>1.0000000000000009E-2</v>
      </c>
      <c r="H279" s="60">
        <f t="shared" si="29"/>
        <v>1.872354181707159E-3</v>
      </c>
      <c r="I279" s="60">
        <f t="shared" si="35"/>
        <v>0.11025564213271202</v>
      </c>
      <c r="J279" s="60">
        <f t="shared" si="31"/>
        <v>0.10934855242568067</v>
      </c>
    </row>
    <row r="280" spans="1:10" x14ac:dyDescent="0.3">
      <c r="A280" s="70">
        <f t="shared" si="32"/>
        <v>-1.2200000000000599</v>
      </c>
      <c r="B280" s="60">
        <v>0</v>
      </c>
      <c r="C280" s="70">
        <v>-1.2200000000000599</v>
      </c>
      <c r="D280" s="70">
        <v>1</v>
      </c>
      <c r="E280" s="71">
        <f t="shared" si="33"/>
        <v>-0.74420000000007314</v>
      </c>
      <c r="F280" s="72">
        <f t="shared" si="34"/>
        <v>0.18954315809162636</v>
      </c>
      <c r="G280" s="70">
        <f t="shared" si="30"/>
        <v>1.0000000000000009E-2</v>
      </c>
      <c r="H280" s="60">
        <f t="shared" si="29"/>
        <v>1.8954315809162653E-3</v>
      </c>
      <c r="I280" s="60">
        <f t="shared" si="35"/>
        <v>0.11215107371362829</v>
      </c>
      <c r="J280" s="60">
        <f t="shared" si="31"/>
        <v>0.1112324374478232</v>
      </c>
    </row>
    <row r="281" spans="1:10" x14ac:dyDescent="0.3">
      <c r="A281" s="70">
        <f t="shared" si="32"/>
        <v>-1.2100000000000599</v>
      </c>
      <c r="B281" s="60">
        <v>0</v>
      </c>
      <c r="C281" s="70">
        <v>-1.2100000000000599</v>
      </c>
      <c r="D281" s="70">
        <v>1</v>
      </c>
      <c r="E281" s="71">
        <f t="shared" si="33"/>
        <v>-0.73205000000007248</v>
      </c>
      <c r="F281" s="72">
        <f t="shared" si="34"/>
        <v>0.19186015471358545</v>
      </c>
      <c r="G281" s="70">
        <f t="shared" si="30"/>
        <v>1.0000000000000009E-2</v>
      </c>
      <c r="H281" s="60">
        <f t="shared" si="29"/>
        <v>1.9186015471358562E-3</v>
      </c>
      <c r="I281" s="60">
        <f t="shared" si="35"/>
        <v>0.11406967526076414</v>
      </c>
      <c r="J281" s="60">
        <f t="shared" si="31"/>
        <v>0.11313944644396577</v>
      </c>
    </row>
    <row r="282" spans="1:10" x14ac:dyDescent="0.3">
      <c r="A282" s="70">
        <f t="shared" si="32"/>
        <v>-1.2000000000000599</v>
      </c>
      <c r="B282" s="60">
        <v>0</v>
      </c>
      <c r="C282" s="70">
        <v>-1.2000000000000599</v>
      </c>
      <c r="D282" s="70">
        <v>1</v>
      </c>
      <c r="E282" s="71">
        <f t="shared" si="33"/>
        <v>-0.72000000000007192</v>
      </c>
      <c r="F282" s="72">
        <f t="shared" si="34"/>
        <v>0.19418605498319899</v>
      </c>
      <c r="G282" s="70">
        <f t="shared" si="30"/>
        <v>1.0000000000000009E-2</v>
      </c>
      <c r="H282" s="60">
        <f t="shared" si="29"/>
        <v>1.9418605498319917E-3</v>
      </c>
      <c r="I282" s="60">
        <f t="shared" si="35"/>
        <v>0.11601153581059613</v>
      </c>
      <c r="J282" s="60">
        <f t="shared" si="31"/>
        <v>0.11506967022169665</v>
      </c>
    </row>
    <row r="283" spans="1:10" x14ac:dyDescent="0.3">
      <c r="A283" s="70">
        <f t="shared" si="32"/>
        <v>-1.1900000000000599</v>
      </c>
      <c r="B283" s="60">
        <v>0</v>
      </c>
      <c r="C283" s="70">
        <v>-1.1900000000000599</v>
      </c>
      <c r="D283" s="70">
        <v>1</v>
      </c>
      <c r="E283" s="71">
        <f t="shared" si="33"/>
        <v>-0.70805000000007123</v>
      </c>
      <c r="F283" s="72">
        <f t="shared" si="34"/>
        <v>0.19652049886212253</v>
      </c>
      <c r="G283" s="70">
        <f t="shared" si="30"/>
        <v>1.0000000000000009E-2</v>
      </c>
      <c r="H283" s="60">
        <f t="shared" si="29"/>
        <v>1.9652049886212269E-3</v>
      </c>
      <c r="I283" s="60">
        <f t="shared" si="35"/>
        <v>0.11797674079921736</v>
      </c>
      <c r="J283" s="60">
        <f t="shared" si="31"/>
        <v>0.11702319602309692</v>
      </c>
    </row>
    <row r="284" spans="1:10" x14ac:dyDescent="0.3">
      <c r="A284" s="70">
        <f t="shared" si="32"/>
        <v>-1.1800000000000599</v>
      </c>
      <c r="B284" s="60">
        <v>0</v>
      </c>
      <c r="C284" s="70">
        <v>-1.1800000000000599</v>
      </c>
      <c r="D284" s="70">
        <v>1</v>
      </c>
      <c r="E284" s="71">
        <f t="shared" si="33"/>
        <v>-0.69620000000007065</v>
      </c>
      <c r="F284" s="72">
        <f t="shared" si="34"/>
        <v>0.19886311938726184</v>
      </c>
      <c r="G284" s="70">
        <f t="shared" si="30"/>
        <v>9.9999999999997868E-3</v>
      </c>
      <c r="H284" s="60">
        <f t="shared" si="29"/>
        <v>1.9886311938725758E-3</v>
      </c>
      <c r="I284" s="60">
        <f t="shared" si="35"/>
        <v>0.11996537199308993</v>
      </c>
      <c r="J284" s="60">
        <f t="shared" si="31"/>
        <v>0.11900010745518876</v>
      </c>
    </row>
    <row r="285" spans="1:10" x14ac:dyDescent="0.3">
      <c r="A285" s="70">
        <f t="shared" si="32"/>
        <v>-1.1700000000000601</v>
      </c>
      <c r="B285" s="60">
        <v>0</v>
      </c>
      <c r="C285" s="70">
        <v>-1.1700000000000601</v>
      </c>
      <c r="D285" s="70">
        <v>1</v>
      </c>
      <c r="E285" s="71">
        <f t="shared" si="33"/>
        <v>-0.68445000000007028</v>
      </c>
      <c r="F285" s="72">
        <f t="shared" si="34"/>
        <v>0.20121354273518324</v>
      </c>
      <c r="G285" s="70">
        <f t="shared" si="30"/>
        <v>1.0000000000000009E-2</v>
      </c>
      <c r="H285" s="60">
        <f t="shared" si="29"/>
        <v>2.012135427351834E-3</v>
      </c>
      <c r="I285" s="60">
        <f t="shared" si="35"/>
        <v>0.12197750742044176</v>
      </c>
      <c r="J285" s="60">
        <f t="shared" si="31"/>
        <v>0.12100048442100607</v>
      </c>
    </row>
    <row r="286" spans="1:10" x14ac:dyDescent="0.3">
      <c r="A286" s="70">
        <f t="shared" si="32"/>
        <v>-1.1600000000000601</v>
      </c>
      <c r="B286" s="60">
        <v>0</v>
      </c>
      <c r="C286" s="70">
        <v>-1.1600000000000601</v>
      </c>
      <c r="D286" s="70">
        <v>1</v>
      </c>
      <c r="E286" s="71">
        <f t="shared" si="33"/>
        <v>-0.67280000000006968</v>
      </c>
      <c r="F286" s="72">
        <f t="shared" si="34"/>
        <v>0.20357138829074525</v>
      </c>
      <c r="G286" s="70">
        <f t="shared" si="30"/>
        <v>1.0000000000000009E-2</v>
      </c>
      <c r="H286" s="60">
        <f t="shared" si="29"/>
        <v>2.0357138829074544E-3</v>
      </c>
      <c r="I286" s="60">
        <f t="shared" si="35"/>
        <v>0.12401322130334921</v>
      </c>
      <c r="J286" s="60">
        <f t="shared" si="31"/>
        <v>0.12302440305133114</v>
      </c>
    </row>
    <row r="287" spans="1:10" x14ac:dyDescent="0.3">
      <c r="A287" s="70">
        <f t="shared" si="32"/>
        <v>-1.1500000000000601</v>
      </c>
      <c r="B287" s="60">
        <v>0</v>
      </c>
      <c r="C287" s="70">
        <v>-1.1500000000000601</v>
      </c>
      <c r="D287" s="70">
        <v>1</v>
      </c>
      <c r="E287" s="71">
        <f t="shared" si="33"/>
        <v>-0.66125000000006906</v>
      </c>
      <c r="F287" s="72">
        <f t="shared" si="34"/>
        <v>0.20593626871996051</v>
      </c>
      <c r="G287" s="70">
        <f t="shared" si="30"/>
        <v>1.0000000000000009E-2</v>
      </c>
      <c r="H287" s="60">
        <f t="shared" si="29"/>
        <v>2.059362687199607E-3</v>
      </c>
      <c r="I287" s="60">
        <f t="shared" si="35"/>
        <v>0.12607258399054883</v>
      </c>
      <c r="J287" s="60">
        <f t="shared" si="31"/>
        <v>0.12507193563713784</v>
      </c>
    </row>
    <row r="288" spans="1:10" x14ac:dyDescent="0.3">
      <c r="A288" s="70">
        <f t="shared" si="32"/>
        <v>-1.1400000000000601</v>
      </c>
      <c r="B288" s="60">
        <v>0</v>
      </c>
      <c r="C288" s="70">
        <v>-1.1400000000000601</v>
      </c>
      <c r="D288" s="70">
        <v>1</v>
      </c>
      <c r="E288" s="71">
        <f t="shared" si="33"/>
        <v>-0.64980000000006843</v>
      </c>
      <c r="F288" s="72">
        <f t="shared" si="34"/>
        <v>0.2083077900470941</v>
      </c>
      <c r="G288" s="70">
        <f t="shared" si="30"/>
        <v>1.0000000000000009E-2</v>
      </c>
      <c r="H288" s="60">
        <f t="shared" si="29"/>
        <v>2.0830779004709431E-3</v>
      </c>
      <c r="I288" s="60">
        <f t="shared" si="35"/>
        <v>0.12815566189101976</v>
      </c>
      <c r="J288" s="60">
        <f t="shared" si="31"/>
        <v>0.12714315056278572</v>
      </c>
    </row>
    <row r="289" spans="1:10" x14ac:dyDescent="0.3">
      <c r="A289" s="70">
        <f t="shared" si="32"/>
        <v>-1.1300000000000601</v>
      </c>
      <c r="B289" s="60">
        <v>0</v>
      </c>
      <c r="C289" s="70">
        <v>-1.1300000000000601</v>
      </c>
      <c r="D289" s="70">
        <v>1</v>
      </c>
      <c r="E289" s="71">
        <f t="shared" si="33"/>
        <v>-0.63845000000006791</v>
      </c>
      <c r="F289" s="72">
        <f t="shared" si="34"/>
        <v>0.21068555173600098</v>
      </c>
      <c r="G289" s="70">
        <f t="shared" si="30"/>
        <v>1.0000000000000009E-2</v>
      </c>
      <c r="H289" s="60">
        <f t="shared" si="29"/>
        <v>2.1068555173600115E-3</v>
      </c>
      <c r="I289" s="60">
        <f t="shared" si="35"/>
        <v>0.13026251740837977</v>
      </c>
      <c r="J289" s="60">
        <f t="shared" si="31"/>
        <v>0.12923811224000514</v>
      </c>
    </row>
    <row r="290" spans="1:10" x14ac:dyDescent="0.3">
      <c r="A290" s="70">
        <f t="shared" si="32"/>
        <v>-1.1200000000000601</v>
      </c>
      <c r="B290" s="60">
        <v>0</v>
      </c>
      <c r="C290" s="70">
        <v>-1.1200000000000601</v>
      </c>
      <c r="D290" s="70">
        <v>1</v>
      </c>
      <c r="E290" s="71">
        <f t="shared" si="33"/>
        <v>-0.62720000000006726</v>
      </c>
      <c r="F290" s="72">
        <f t="shared" si="34"/>
        <v>0.21306914677570354</v>
      </c>
      <c r="G290" s="70">
        <f t="shared" si="30"/>
        <v>1.0000000000000009E-2</v>
      </c>
      <c r="H290" s="60">
        <f t="shared" si="29"/>
        <v>2.1306914677570372E-3</v>
      </c>
      <c r="I290" s="60">
        <f t="shared" si="35"/>
        <v>0.13239320887613681</v>
      </c>
      <c r="J290" s="60">
        <f t="shared" si="31"/>
        <v>0.13135688104271789</v>
      </c>
    </row>
    <row r="291" spans="1:10" x14ac:dyDescent="0.3">
      <c r="A291" s="70">
        <f t="shared" si="32"/>
        <v>-1.11000000000006</v>
      </c>
      <c r="B291" s="60">
        <v>0</v>
      </c>
      <c r="C291" s="70">
        <v>-1.11000000000006</v>
      </c>
      <c r="D291" s="70">
        <v>1</v>
      </c>
      <c r="E291" s="71">
        <f t="shared" si="33"/>
        <v>-0.6160500000000666</v>
      </c>
      <c r="F291" s="72">
        <f t="shared" si="34"/>
        <v>0.21545816177020538</v>
      </c>
      <c r="G291" s="70">
        <f t="shared" si="30"/>
        <v>1.0000000000000009E-2</v>
      </c>
      <c r="H291" s="60">
        <f t="shared" si="29"/>
        <v>2.1545816177020558E-3</v>
      </c>
      <c r="I291" s="60">
        <f t="shared" si="35"/>
        <v>0.13454779049383886</v>
      </c>
      <c r="J291" s="60">
        <f t="shared" si="31"/>
        <v>0.13349951324273429</v>
      </c>
    </row>
    <row r="292" spans="1:10" x14ac:dyDescent="0.3">
      <c r="A292" s="70">
        <f t="shared" si="32"/>
        <v>-1.10000000000006</v>
      </c>
      <c r="B292" s="60">
        <v>0</v>
      </c>
      <c r="C292" s="70">
        <v>-1.10000000000006</v>
      </c>
      <c r="D292" s="70">
        <v>1</v>
      </c>
      <c r="E292" s="71">
        <f t="shared" si="33"/>
        <v>-0.60500000000006604</v>
      </c>
      <c r="F292" s="72">
        <f t="shared" si="34"/>
        <v>0.21785217703253615</v>
      </c>
      <c r="G292" s="70">
        <f t="shared" si="30"/>
        <v>1.0000000000000009E-2</v>
      </c>
      <c r="H292" s="60">
        <f t="shared" si="29"/>
        <v>2.1785217703253635E-3</v>
      </c>
      <c r="I292" s="60">
        <f t="shared" si="35"/>
        <v>0.13672631226416423</v>
      </c>
      <c r="J292" s="60">
        <f t="shared" si="31"/>
        <v>0.13566606094636957</v>
      </c>
    </row>
    <row r="293" spans="1:10" x14ac:dyDescent="0.3">
      <c r="A293" s="70">
        <f t="shared" si="32"/>
        <v>-1.09000000000006</v>
      </c>
      <c r="B293" s="60">
        <v>0</v>
      </c>
      <c r="C293" s="70">
        <v>-1.09000000000006</v>
      </c>
      <c r="D293" s="70">
        <v>1</v>
      </c>
      <c r="E293" s="71">
        <f t="shared" si="33"/>
        <v>-0.59405000000006547</v>
      </c>
      <c r="F293" s="72">
        <f t="shared" si="34"/>
        <v>0.22025076668301888</v>
      </c>
      <c r="G293" s="70">
        <f t="shared" si="30"/>
        <v>1.0000000000000009E-2</v>
      </c>
      <c r="H293" s="60">
        <f t="shared" si="29"/>
        <v>2.2025076668301907E-3</v>
      </c>
      <c r="I293" s="60">
        <f t="shared" si="35"/>
        <v>0.13892881993099443</v>
      </c>
      <c r="J293" s="60">
        <f t="shared" si="31"/>
        <v>0.13785657203202226</v>
      </c>
    </row>
    <row r="294" spans="1:10" x14ac:dyDescent="0.3">
      <c r="A294" s="70">
        <f t="shared" si="32"/>
        <v>-1.08000000000006</v>
      </c>
      <c r="B294" s="60">
        <v>0</v>
      </c>
      <c r="C294" s="70">
        <v>-1.08000000000006</v>
      </c>
      <c r="D294" s="70">
        <v>1</v>
      </c>
      <c r="E294" s="71">
        <f t="shared" si="33"/>
        <v>-0.58320000000006478</v>
      </c>
      <c r="F294" s="72">
        <f t="shared" si="34"/>
        <v>0.2226534987517467</v>
      </c>
      <c r="G294" s="70">
        <f t="shared" si="30"/>
        <v>1.0000000000000009E-2</v>
      </c>
      <c r="H294" s="60">
        <f t="shared" si="29"/>
        <v>2.2265349875174689E-3</v>
      </c>
      <c r="I294" s="60">
        <f t="shared" si="35"/>
        <v>0.14115535491851189</v>
      </c>
      <c r="J294" s="60">
        <f t="shared" si="31"/>
        <v>0.14007109008875568</v>
      </c>
    </row>
    <row r="295" spans="1:10" x14ac:dyDescent="0.3">
      <c r="A295" s="70">
        <f t="shared" si="32"/>
        <v>-1.07000000000006</v>
      </c>
      <c r="B295" s="60">
        <v>0</v>
      </c>
      <c r="C295" s="70">
        <v>-1.07000000000006</v>
      </c>
      <c r="D295" s="70">
        <v>1</v>
      </c>
      <c r="E295" s="71">
        <f t="shared" si="33"/>
        <v>-0.57245000000006419</v>
      </c>
      <c r="F295" s="72">
        <f t="shared" si="34"/>
        <v>0.22505993528525522</v>
      </c>
      <c r="G295" s="70">
        <f t="shared" si="30"/>
        <v>1.0000000000000009E-2</v>
      </c>
      <c r="H295" s="60">
        <f t="shared" si="29"/>
        <v>2.2505993528525543E-3</v>
      </c>
      <c r="I295" s="60">
        <f t="shared" si="35"/>
        <v>0.14340595427136443</v>
      </c>
      <c r="J295" s="60">
        <f t="shared" si="31"/>
        <v>0.14230965435592571</v>
      </c>
    </row>
    <row r="296" spans="1:10" x14ac:dyDescent="0.3">
      <c r="A296" s="70">
        <f t="shared" si="32"/>
        <v>-1.06000000000006</v>
      </c>
      <c r="B296" s="60">
        <v>0</v>
      </c>
      <c r="C296" s="70">
        <v>-1.06000000000006</v>
      </c>
      <c r="D296" s="70">
        <v>1</v>
      </c>
      <c r="E296" s="71">
        <f t="shared" si="33"/>
        <v>-0.56180000000006358</v>
      </c>
      <c r="F296" s="72">
        <f t="shared" si="34"/>
        <v>0.22746963245737142</v>
      </c>
      <c r="G296" s="70">
        <f t="shared" si="30"/>
        <v>1.0000000000000009E-2</v>
      </c>
      <c r="H296" s="60">
        <f t="shared" si="29"/>
        <v>2.2746963245737161E-3</v>
      </c>
      <c r="I296" s="60">
        <f t="shared" si="35"/>
        <v>0.14568065059593815</v>
      </c>
      <c r="J296" s="60">
        <f t="shared" si="31"/>
        <v>0.1445722996638959</v>
      </c>
    </row>
    <row r="297" spans="1:10" x14ac:dyDescent="0.3">
      <c r="A297" s="70">
        <f t="shared" si="32"/>
        <v>-1.05000000000006</v>
      </c>
      <c r="B297" s="60">
        <v>0</v>
      </c>
      <c r="C297" s="70">
        <v>-1.05000000000006</v>
      </c>
      <c r="D297" s="70">
        <v>1</v>
      </c>
      <c r="E297" s="71">
        <f t="shared" si="33"/>
        <v>-0.55125000000006297</v>
      </c>
      <c r="F297" s="72">
        <f t="shared" si="34"/>
        <v>0.22988214068421856</v>
      </c>
      <c r="G297" s="70">
        <f t="shared" si="30"/>
        <v>1.0000000000000009E-2</v>
      </c>
      <c r="H297" s="60">
        <f t="shared" si="29"/>
        <v>2.2988214068421875E-3</v>
      </c>
      <c r="I297" s="60">
        <f t="shared" si="35"/>
        <v>0.14797947200278033</v>
      </c>
      <c r="J297" s="60">
        <f t="shared" si="31"/>
        <v>0.14685905637588215</v>
      </c>
    </row>
    <row r="298" spans="1:10" x14ac:dyDescent="0.3">
      <c r="A298" s="70">
        <f t="shared" si="32"/>
        <v>-1.04000000000006</v>
      </c>
      <c r="B298" s="60">
        <v>0</v>
      </c>
      <c r="C298" s="70">
        <v>-1.04000000000006</v>
      </c>
      <c r="D298" s="70">
        <v>1</v>
      </c>
      <c r="E298" s="71">
        <f t="shared" si="33"/>
        <v>-0.54080000000006234</v>
      </c>
      <c r="F298" s="72">
        <f t="shared" si="34"/>
        <v>0.23229700474335171</v>
      </c>
      <c r="G298" s="70">
        <f t="shared" si="30"/>
        <v>1.0000000000000009E-2</v>
      </c>
      <c r="H298" s="60">
        <f t="shared" si="29"/>
        <v>2.3229700474335191E-3</v>
      </c>
      <c r="I298" s="60">
        <f t="shared" si="35"/>
        <v>0.15030244205021384</v>
      </c>
      <c r="J298" s="60">
        <f t="shared" si="31"/>
        <v>0.14916995033096744</v>
      </c>
    </row>
    <row r="299" spans="1:10" x14ac:dyDescent="0.3">
      <c r="A299" s="70">
        <f t="shared" si="32"/>
        <v>-1.03000000000006</v>
      </c>
      <c r="B299" s="60">
        <v>0</v>
      </c>
      <c r="C299" s="70">
        <v>-1.03000000000006</v>
      </c>
      <c r="D299" s="70">
        <v>1</v>
      </c>
      <c r="E299" s="71">
        <f t="shared" si="33"/>
        <v>-0.53045000000006182</v>
      </c>
      <c r="F299" s="72">
        <f t="shared" si="34"/>
        <v>0.2347137638969973</v>
      </c>
      <c r="G299" s="70">
        <f t="shared" si="30"/>
        <v>1.0000000000000009E-2</v>
      </c>
      <c r="H299" s="60">
        <f t="shared" si="29"/>
        <v>2.347137638969975E-3</v>
      </c>
      <c r="I299" s="60">
        <f t="shared" si="35"/>
        <v>0.15264957968918383</v>
      </c>
      <c r="J299" s="60">
        <f t="shared" si="31"/>
        <v>0.15150500278832962</v>
      </c>
    </row>
    <row r="300" spans="1:10" x14ac:dyDescent="0.3">
      <c r="A300" s="70">
        <f t="shared" si="32"/>
        <v>-1.02000000000006</v>
      </c>
      <c r="B300" s="60">
        <v>0</v>
      </c>
      <c r="C300" s="70">
        <v>-1.02000000000006</v>
      </c>
      <c r="D300" s="70">
        <v>1</v>
      </c>
      <c r="E300" s="71">
        <f t="shared" si="33"/>
        <v>-0.52020000000006117</v>
      </c>
      <c r="F300" s="72">
        <f t="shared" si="34"/>
        <v>0.23713195201936507</v>
      </c>
      <c r="G300" s="70">
        <f t="shared" si="30"/>
        <v>1.0000000000000009E-2</v>
      </c>
      <c r="H300" s="60">
        <f t="shared" si="29"/>
        <v>2.3713195201936527E-3</v>
      </c>
      <c r="I300" s="60">
        <f t="shared" si="35"/>
        <v>0.15502089920937748</v>
      </c>
      <c r="J300" s="60">
        <f t="shared" si="31"/>
        <v>0.1538642303727206</v>
      </c>
    </row>
    <row r="301" spans="1:10" x14ac:dyDescent="0.3">
      <c r="A301" s="70">
        <f t="shared" si="32"/>
        <v>-1.01000000000006</v>
      </c>
      <c r="B301" s="60">
        <v>0</v>
      </c>
      <c r="C301" s="70">
        <v>-1.01000000000006</v>
      </c>
      <c r="D301" s="70">
        <v>1</v>
      </c>
      <c r="E301" s="71">
        <f t="shared" si="33"/>
        <v>-0.51005000000006051</v>
      </c>
      <c r="F301" s="72">
        <f t="shared" si="34"/>
        <v>0.23955109772799887</v>
      </c>
      <c r="G301" s="70">
        <f t="shared" si="30"/>
        <v>1.0000000000000009E-2</v>
      </c>
      <c r="H301" s="60">
        <f t="shared" si="29"/>
        <v>2.3955109772799909E-3</v>
      </c>
      <c r="I301" s="60">
        <f t="shared" si="35"/>
        <v>0.15741641018665747</v>
      </c>
      <c r="J301" s="60">
        <f t="shared" si="31"/>
        <v>0.15624764502124022</v>
      </c>
    </row>
    <row r="302" spans="1:10" x14ac:dyDescent="0.3">
      <c r="A302" s="70">
        <f t="shared" si="32"/>
        <v>-1.00000000000006</v>
      </c>
      <c r="B302" s="60">
        <v>0</v>
      </c>
      <c r="C302" s="70">
        <v>-1.00000000000006</v>
      </c>
      <c r="D302" s="70">
        <v>1</v>
      </c>
      <c r="E302" s="71">
        <f t="shared" si="33"/>
        <v>-0.50000000000005995</v>
      </c>
      <c r="F302" s="72">
        <f t="shared" si="34"/>
        <v>0.24197072451912885</v>
      </c>
      <c r="G302" s="70">
        <f t="shared" si="30"/>
        <v>9.9999999999998979E-3</v>
      </c>
      <c r="H302" s="60">
        <f t="shared" si="29"/>
        <v>2.4197072451912637E-3</v>
      </c>
      <c r="I302" s="60">
        <f t="shared" si="35"/>
        <v>0.15983611743184875</v>
      </c>
      <c r="J302" s="60">
        <f t="shared" si="31"/>
        <v>0.1586552539314425</v>
      </c>
    </row>
    <row r="303" spans="1:10" x14ac:dyDescent="0.3">
      <c r="A303" s="70">
        <f t="shared" si="32"/>
        <v>-0.99000000000006005</v>
      </c>
      <c r="B303" s="60">
        <v>0</v>
      </c>
      <c r="C303" s="70">
        <v>-0.99000000000006005</v>
      </c>
      <c r="D303" s="70">
        <v>1</v>
      </c>
      <c r="E303" s="71">
        <f t="shared" si="33"/>
        <v>-0.49005000000005944</v>
      </c>
      <c r="F303" s="72">
        <f t="shared" si="34"/>
        <v>0.24439035090698505</v>
      </c>
      <c r="G303" s="70">
        <f t="shared" si="30"/>
        <v>1.0000000000000009E-2</v>
      </c>
      <c r="H303" s="60">
        <f t="shared" si="29"/>
        <v>2.4439035090698526E-3</v>
      </c>
      <c r="I303" s="60">
        <f t="shared" si="35"/>
        <v>0.16228002094091859</v>
      </c>
      <c r="J303" s="60">
        <f t="shared" si="31"/>
        <v>0.1610870595108162</v>
      </c>
    </row>
    <row r="304" spans="1:10" x14ac:dyDescent="0.3">
      <c r="A304" s="70">
        <f t="shared" si="32"/>
        <v>-0.98000000000006005</v>
      </c>
      <c r="B304" s="60">
        <v>0</v>
      </c>
      <c r="C304" s="70">
        <v>-0.98000000000006005</v>
      </c>
      <c r="D304" s="70">
        <v>1</v>
      </c>
      <c r="E304" s="71">
        <f t="shared" si="33"/>
        <v>-0.48020000000005886</v>
      </c>
      <c r="F304" s="72">
        <f t="shared" si="34"/>
        <v>0.24680949056702819</v>
      </c>
      <c r="G304" s="70">
        <f t="shared" si="30"/>
        <v>1.0000000000000009E-2</v>
      </c>
      <c r="H304" s="60">
        <f t="shared" si="29"/>
        <v>2.4680949056702841E-3</v>
      </c>
      <c r="I304" s="60">
        <f t="shared" si="35"/>
        <v>0.16474811584658888</v>
      </c>
      <c r="J304" s="60">
        <f t="shared" si="31"/>
        <v>0.16354305932767751</v>
      </c>
    </row>
    <row r="305" spans="1:10" x14ac:dyDescent="0.3">
      <c r="A305" s="70">
        <f t="shared" si="32"/>
        <v>-0.97000000000006004</v>
      </c>
      <c r="B305" s="60">
        <v>0</v>
      </c>
      <c r="C305" s="70">
        <v>-0.97000000000006004</v>
      </c>
      <c r="D305" s="70">
        <v>1</v>
      </c>
      <c r="E305" s="71">
        <f t="shared" si="33"/>
        <v>-0.47045000000005821</v>
      </c>
      <c r="F305" s="72">
        <f t="shared" si="34"/>
        <v>0.24922765248305143</v>
      </c>
      <c r="G305" s="70">
        <f t="shared" si="30"/>
        <v>1.0000000000000009E-2</v>
      </c>
      <c r="H305" s="60">
        <f t="shared" si="29"/>
        <v>2.4922765248305166E-3</v>
      </c>
      <c r="I305" s="60">
        <f t="shared" si="35"/>
        <v>0.16724039237141941</v>
      </c>
      <c r="J305" s="60">
        <f t="shared" si="31"/>
        <v>0.16602324606351465</v>
      </c>
    </row>
    <row r="306" spans="1:10" x14ac:dyDescent="0.3">
      <c r="A306" s="70">
        <f t="shared" si="32"/>
        <v>-0.96000000000006003</v>
      </c>
      <c r="B306" s="60">
        <v>0</v>
      </c>
      <c r="C306" s="70">
        <v>-0.96000000000006003</v>
      </c>
      <c r="D306" s="70">
        <v>1</v>
      </c>
      <c r="E306" s="71">
        <f t="shared" si="33"/>
        <v>-0.46080000000005761</v>
      </c>
      <c r="F306" s="72">
        <f t="shared" si="34"/>
        <v>0.25164434109810263</v>
      </c>
      <c r="G306" s="70">
        <f t="shared" si="30"/>
        <v>1.0000000000000009E-2</v>
      </c>
      <c r="H306" s="60">
        <f t="shared" si="29"/>
        <v>2.5164434109810284E-3</v>
      </c>
      <c r="I306" s="60">
        <f t="shared" si="35"/>
        <v>0.16975683578240044</v>
      </c>
      <c r="J306" s="60">
        <f t="shared" si="31"/>
        <v>0.16852760746682272</v>
      </c>
    </row>
    <row r="307" spans="1:10" x14ac:dyDescent="0.3">
      <c r="A307" s="70">
        <f t="shared" si="32"/>
        <v>-0.95000000000006002</v>
      </c>
      <c r="B307" s="60">
        <v>0</v>
      </c>
      <c r="C307" s="70">
        <v>-0.95000000000006002</v>
      </c>
      <c r="D307" s="70">
        <v>1</v>
      </c>
      <c r="E307" s="71">
        <f t="shared" si="33"/>
        <v>-0.45125000000005699</v>
      </c>
      <c r="F307" s="72">
        <f t="shared" si="34"/>
        <v>0.25405905646917454</v>
      </c>
      <c r="G307" s="70">
        <f t="shared" si="30"/>
        <v>1.0000000000000009E-2</v>
      </c>
      <c r="H307" s="60">
        <f t="shared" si="29"/>
        <v>2.5405905646917475E-3</v>
      </c>
      <c r="I307" s="60">
        <f t="shared" si="35"/>
        <v>0.17229742634709219</v>
      </c>
      <c r="J307" s="60">
        <f t="shared" si="31"/>
        <v>0.17105612630846656</v>
      </c>
    </row>
    <row r="308" spans="1:10" x14ac:dyDescent="0.3">
      <c r="A308" s="70">
        <f t="shared" si="32"/>
        <v>-0.94000000000006001</v>
      </c>
      <c r="B308" s="60">
        <v>0</v>
      </c>
      <c r="C308" s="70">
        <v>-0.94000000000006001</v>
      </c>
      <c r="D308" s="70">
        <v>1</v>
      </c>
      <c r="E308" s="71">
        <f t="shared" si="33"/>
        <v>-0.44180000000005643</v>
      </c>
      <c r="F308" s="72">
        <f t="shared" si="34"/>
        <v>0.2564712944256059</v>
      </c>
      <c r="G308" s="70">
        <f t="shared" si="30"/>
        <v>1.0000000000000009E-2</v>
      </c>
      <c r="H308" s="60">
        <f t="shared" si="29"/>
        <v>2.5647129442560612E-3</v>
      </c>
      <c r="I308" s="60">
        <f t="shared" si="35"/>
        <v>0.17486213929134825</v>
      </c>
      <c r="J308" s="60">
        <f t="shared" si="31"/>
        <v>0.17360878033860916</v>
      </c>
    </row>
    <row r="309" spans="1:10" x14ac:dyDescent="0.3">
      <c r="A309" s="70">
        <f t="shared" si="32"/>
        <v>-0.93000000000006</v>
      </c>
      <c r="B309" s="60">
        <v>0</v>
      </c>
      <c r="C309" s="70">
        <v>-0.93000000000006</v>
      </c>
      <c r="D309" s="70">
        <v>1</v>
      </c>
      <c r="E309" s="71">
        <f t="shared" si="33"/>
        <v>-0.43245000000005579</v>
      </c>
      <c r="F309" s="72">
        <f t="shared" si="34"/>
        <v>0.25888054673113442</v>
      </c>
      <c r="G309" s="70">
        <f t="shared" si="30"/>
        <v>1.0000000000000009E-2</v>
      </c>
      <c r="H309" s="60">
        <f t="shared" si="29"/>
        <v>2.5888054673113463E-3</v>
      </c>
      <c r="I309" s="60">
        <f t="shared" si="35"/>
        <v>0.17745094475865961</v>
      </c>
      <c r="J309" s="60">
        <f t="shared" si="31"/>
        <v>0.17618554224524238</v>
      </c>
    </row>
    <row r="310" spans="1:10" x14ac:dyDescent="0.3">
      <c r="A310" s="70">
        <f t="shared" si="32"/>
        <v>-0.92000000000005999</v>
      </c>
      <c r="B310" s="60">
        <v>0</v>
      </c>
      <c r="C310" s="70">
        <v>-0.92000000000005999</v>
      </c>
      <c r="D310" s="70">
        <v>1</v>
      </c>
      <c r="E310" s="71">
        <f t="shared" si="33"/>
        <v>-0.4232000000000552</v>
      </c>
      <c r="F310" s="72">
        <f t="shared" si="34"/>
        <v>0.26128630124953872</v>
      </c>
      <c r="G310" s="70">
        <f t="shared" si="30"/>
        <v>1.0000000000000009E-2</v>
      </c>
      <c r="H310" s="60">
        <f t="shared" si="29"/>
        <v>2.6128630124953897E-3</v>
      </c>
      <c r="I310" s="60">
        <f t="shared" si="35"/>
        <v>0.18006380777115499</v>
      </c>
      <c r="J310" s="60">
        <f t="shared" si="31"/>
        <v>0.17878637961435601</v>
      </c>
    </row>
    <row r="311" spans="1:10" x14ac:dyDescent="0.3">
      <c r="A311" s="70">
        <f t="shared" si="32"/>
        <v>-0.91000000000005998</v>
      </c>
      <c r="B311" s="60">
        <v>0</v>
      </c>
      <c r="C311" s="70">
        <v>-0.91000000000005998</v>
      </c>
      <c r="D311" s="70">
        <v>1</v>
      </c>
      <c r="E311" s="71">
        <f t="shared" si="33"/>
        <v>-0.4140500000000546</v>
      </c>
      <c r="F311" s="72">
        <f t="shared" si="34"/>
        <v>0.26368804211380376</v>
      </c>
      <c r="G311" s="70">
        <f t="shared" si="30"/>
        <v>1.0000000000000009E-2</v>
      </c>
      <c r="H311" s="60">
        <f t="shared" si="29"/>
        <v>2.6368804211380401E-3</v>
      </c>
      <c r="I311" s="60">
        <f t="shared" si="35"/>
        <v>0.18270068819229304</v>
      </c>
      <c r="J311" s="60">
        <f t="shared" si="31"/>
        <v>0.18141125489178142</v>
      </c>
    </row>
    <row r="312" spans="1:10" x14ac:dyDescent="0.3">
      <c r="A312" s="70">
        <f t="shared" si="32"/>
        <v>-0.90000000000005997</v>
      </c>
      <c r="B312" s="60">
        <v>0</v>
      </c>
      <c r="C312" s="70">
        <v>-0.90000000000005997</v>
      </c>
      <c r="D312" s="70">
        <v>1</v>
      </c>
      <c r="E312" s="71">
        <f t="shared" si="33"/>
        <v>-0.40500000000005398</v>
      </c>
      <c r="F312" s="72">
        <f t="shared" si="34"/>
        <v>0.26608524989874049</v>
      </c>
      <c r="G312" s="70">
        <f t="shared" si="30"/>
        <v>1.0000000000000009E-2</v>
      </c>
      <c r="H312" s="60">
        <f t="shared" si="29"/>
        <v>2.6608524989874074E-3</v>
      </c>
      <c r="I312" s="60">
        <f t="shared" si="35"/>
        <v>0.18536154069128044</v>
      </c>
      <c r="J312" s="60">
        <f t="shared" si="31"/>
        <v>0.18406012534674351</v>
      </c>
    </row>
    <row r="313" spans="1:10" x14ac:dyDescent="0.3">
      <c r="A313" s="70">
        <f t="shared" si="32"/>
        <v>-0.89000000000005997</v>
      </c>
      <c r="B313" s="60">
        <v>0</v>
      </c>
      <c r="C313" s="70">
        <v>-0.89000000000005997</v>
      </c>
      <c r="D313" s="70">
        <v>1</v>
      </c>
      <c r="E313" s="71">
        <f t="shared" si="33"/>
        <v>-0.39605000000005336</v>
      </c>
      <c r="F313" s="72">
        <f t="shared" si="34"/>
        <v>0.26847740179698804</v>
      </c>
      <c r="G313" s="70">
        <f t="shared" si="30"/>
        <v>1.0000000000000009E-2</v>
      </c>
      <c r="H313" s="60">
        <f t="shared" si="29"/>
        <v>2.6847740179698825E-3</v>
      </c>
      <c r="I313" s="60">
        <f t="shared" si="35"/>
        <v>0.18804631470925032</v>
      </c>
      <c r="J313" s="60">
        <f t="shared" si="31"/>
        <v>0.18673294303715651</v>
      </c>
    </row>
    <row r="314" spans="1:10" x14ac:dyDescent="0.3">
      <c r="A314" s="70">
        <f t="shared" si="32"/>
        <v>-0.88000000000005996</v>
      </c>
      <c r="B314" s="60">
        <v>0</v>
      </c>
      <c r="C314" s="70">
        <v>-0.88000000000005996</v>
      </c>
      <c r="D314" s="70">
        <v>1</v>
      </c>
      <c r="E314" s="71">
        <f t="shared" si="33"/>
        <v>-0.38720000000005278</v>
      </c>
      <c r="F314" s="72">
        <f t="shared" si="34"/>
        <v>0.27086397179832372</v>
      </c>
      <c r="G314" s="70">
        <f t="shared" si="30"/>
        <v>1.0000000000000009E-2</v>
      </c>
      <c r="H314" s="60">
        <f t="shared" si="29"/>
        <v>2.7086397179832398E-3</v>
      </c>
      <c r="I314" s="60">
        <f t="shared" si="35"/>
        <v>0.19075495442723356</v>
      </c>
      <c r="J314" s="60">
        <f t="shared" si="31"/>
        <v>0.18942965477669588</v>
      </c>
    </row>
    <row r="315" spans="1:10" x14ac:dyDescent="0.3">
      <c r="A315" s="70">
        <f t="shared" si="32"/>
        <v>-0.87000000000005995</v>
      </c>
      <c r="B315" s="60">
        <v>0</v>
      </c>
      <c r="C315" s="70">
        <v>-0.87000000000005995</v>
      </c>
      <c r="D315" s="70">
        <v>1</v>
      </c>
      <c r="E315" s="71">
        <f t="shared" si="33"/>
        <v>-0.37845000000005213</v>
      </c>
      <c r="F315" s="72">
        <f t="shared" si="34"/>
        <v>0.27324443087220202</v>
      </c>
      <c r="G315" s="70">
        <f t="shared" si="30"/>
        <v>9.9999999999998979E-3</v>
      </c>
      <c r="H315" s="60">
        <f t="shared" si="29"/>
        <v>2.7324443087219921E-3</v>
      </c>
      <c r="I315" s="60">
        <f t="shared" si="35"/>
        <v>0.19348739873595555</v>
      </c>
      <c r="J315" s="60">
        <f t="shared" si="31"/>
        <v>0.19215020210367983</v>
      </c>
    </row>
    <row r="316" spans="1:10" x14ac:dyDescent="0.3">
      <c r="A316" s="70">
        <f t="shared" si="32"/>
        <v>-0.86000000000006005</v>
      </c>
      <c r="B316" s="60">
        <v>0</v>
      </c>
      <c r="C316" s="70">
        <v>-0.86000000000006005</v>
      </c>
      <c r="D316" s="70">
        <v>1</v>
      </c>
      <c r="E316" s="71">
        <f t="shared" si="33"/>
        <v>-0.36980000000005164</v>
      </c>
      <c r="F316" s="72">
        <f t="shared" si="34"/>
        <v>0.27561824715344246</v>
      </c>
      <c r="G316" s="70">
        <f t="shared" si="30"/>
        <v>1.0000000000000009E-2</v>
      </c>
      <c r="H316" s="60">
        <f t="shared" si="29"/>
        <v>2.7561824715344272E-3</v>
      </c>
      <c r="I316" s="60">
        <f t="shared" si="35"/>
        <v>0.19624358120748997</v>
      </c>
      <c r="J316" s="60">
        <f t="shared" si="31"/>
        <v>0.19489452125179174</v>
      </c>
    </row>
    <row r="317" spans="1:10" x14ac:dyDescent="0.3">
      <c r="A317" s="70">
        <f t="shared" si="32"/>
        <v>-0.85000000000006004</v>
      </c>
      <c r="B317" s="60">
        <v>0</v>
      </c>
      <c r="C317" s="70">
        <v>-0.85000000000006004</v>
      </c>
      <c r="D317" s="70">
        <v>1</v>
      </c>
      <c r="E317" s="71">
        <f t="shared" si="33"/>
        <v>-0.36125000000005103</v>
      </c>
      <c r="F317" s="72">
        <f t="shared" si="34"/>
        <v>0.27798488613098227</v>
      </c>
      <c r="G317" s="70">
        <f t="shared" si="30"/>
        <v>1.0000000000000009E-2</v>
      </c>
      <c r="H317" s="60">
        <f t="shared" si="29"/>
        <v>2.7798488613098252E-3</v>
      </c>
      <c r="I317" s="60">
        <f t="shared" si="35"/>
        <v>0.1990234300687998</v>
      </c>
      <c r="J317" s="60">
        <f t="shared" si="31"/>
        <v>0.1976625431226757</v>
      </c>
    </row>
    <row r="318" spans="1:10" x14ac:dyDescent="0.3">
      <c r="A318" s="70">
        <f t="shared" si="32"/>
        <v>-0.84000000000006003</v>
      </c>
      <c r="B318" s="60">
        <v>0</v>
      </c>
      <c r="C318" s="70">
        <v>-0.84000000000006003</v>
      </c>
      <c r="D318" s="70">
        <v>1</v>
      </c>
      <c r="E318" s="71">
        <f t="shared" si="33"/>
        <v>-0.35280000000005041</v>
      </c>
      <c r="F318" s="72">
        <f t="shared" si="34"/>
        <v>0.28034381083960641</v>
      </c>
      <c r="G318" s="70">
        <f t="shared" si="30"/>
        <v>1.0000000000000009E-2</v>
      </c>
      <c r="H318" s="60">
        <f t="shared" si="29"/>
        <v>2.8034381083960665E-3</v>
      </c>
      <c r="I318" s="60">
        <f t="shared" si="35"/>
        <v>0.20182686817719586</v>
      </c>
      <c r="J318" s="60">
        <f t="shared" si="31"/>
        <v>0.20045419326043282</v>
      </c>
    </row>
    <row r="319" spans="1:10" x14ac:dyDescent="0.3">
      <c r="A319" s="70">
        <f t="shared" si="32"/>
        <v>-0.83000000000006002</v>
      </c>
      <c r="B319" s="60">
        <v>0</v>
      </c>
      <c r="C319" s="70">
        <v>-0.83000000000006002</v>
      </c>
      <c r="D319" s="70">
        <v>1</v>
      </c>
      <c r="E319" s="71">
        <f t="shared" si="33"/>
        <v>-0.34445000000004983</v>
      </c>
      <c r="F319" s="72">
        <f t="shared" si="34"/>
        <v>0.28269448205456615</v>
      </c>
      <c r="G319" s="70">
        <f t="shared" si="30"/>
        <v>1.0000000000000009E-2</v>
      </c>
      <c r="H319" s="60">
        <f t="shared" si="29"/>
        <v>2.826944820545664E-3</v>
      </c>
      <c r="I319" s="60">
        <f t="shared" si="35"/>
        <v>0.20465381299774152</v>
      </c>
      <c r="J319" s="60">
        <f t="shared" si="31"/>
        <v>0.20326939182805143</v>
      </c>
    </row>
    <row r="320" spans="1:10" x14ac:dyDescent="0.3">
      <c r="A320" s="70">
        <f t="shared" si="32"/>
        <v>-0.82000000000006001</v>
      </c>
      <c r="B320" s="60">
        <v>0</v>
      </c>
      <c r="C320" s="70">
        <v>-0.82000000000006001</v>
      </c>
      <c r="D320" s="70">
        <v>1</v>
      </c>
      <c r="E320" s="71">
        <f t="shared" si="33"/>
        <v>-0.33620000000004924</v>
      </c>
      <c r="F320" s="72">
        <f t="shared" si="34"/>
        <v>0.28503635848899322</v>
      </c>
      <c r="G320" s="70">
        <f t="shared" si="30"/>
        <v>1.0000000000000009E-2</v>
      </c>
      <c r="H320" s="60">
        <f t="shared" ref="H320:H383" si="36">F320*G320</f>
        <v>2.850363584889935E-3</v>
      </c>
      <c r="I320" s="60">
        <f t="shared" si="35"/>
        <v>0.20750417658263146</v>
      </c>
      <c r="J320" s="60">
        <f t="shared" si="31"/>
        <v>0.20610805358579595</v>
      </c>
    </row>
    <row r="321" spans="1:10" x14ac:dyDescent="0.3">
      <c r="A321" s="70">
        <f t="shared" si="32"/>
        <v>-0.81000000000006001</v>
      </c>
      <c r="B321" s="60">
        <v>0</v>
      </c>
      <c r="C321" s="70">
        <v>-0.81000000000006001</v>
      </c>
      <c r="D321" s="70">
        <v>1</v>
      </c>
      <c r="E321" s="71">
        <f t="shared" si="33"/>
        <v>-0.32805000000004858</v>
      </c>
      <c r="F321" s="72">
        <f t="shared" si="34"/>
        <v>0.28736889699401436</v>
      </c>
      <c r="G321" s="70">
        <f t="shared" si="30"/>
        <v>1.0000000000000009E-2</v>
      </c>
      <c r="H321" s="60">
        <f t="shared" si="36"/>
        <v>2.8736889699401461E-3</v>
      </c>
      <c r="I321" s="60">
        <f t="shared" si="35"/>
        <v>0.2103778655525716</v>
      </c>
      <c r="J321" s="60">
        <f t="shared" si="31"/>
        <v>0.20897008787158436</v>
      </c>
    </row>
    <row r="322" spans="1:10" x14ac:dyDescent="0.3">
      <c r="A322" s="70">
        <f t="shared" si="32"/>
        <v>-0.80000000000006</v>
      </c>
      <c r="B322" s="60">
        <v>0</v>
      </c>
      <c r="C322" s="70">
        <v>-0.80000000000006</v>
      </c>
      <c r="D322" s="70">
        <v>1</v>
      </c>
      <c r="E322" s="71">
        <f t="shared" si="33"/>
        <v>-0.32000000000004802</v>
      </c>
      <c r="F322" s="72">
        <f t="shared" si="34"/>
        <v>0.28969155276146885</v>
      </c>
      <c r="G322" s="70">
        <f t="shared" ref="G322:G385" si="37">C323-C322</f>
        <v>1.0000000000000009E-2</v>
      </c>
      <c r="H322" s="60">
        <f t="shared" si="36"/>
        <v>2.896915527614691E-3</v>
      </c>
      <c r="I322" s="60">
        <f t="shared" si="35"/>
        <v>0.2132747810801863</v>
      </c>
      <c r="J322" s="60">
        <f t="shared" ref="J322:J385" si="38">NORMSDIST(C322)</f>
        <v>0.21185539858337929</v>
      </c>
    </row>
    <row r="323" spans="1:10" x14ac:dyDescent="0.3">
      <c r="A323" s="70">
        <f t="shared" ref="A323:A386" si="39">B323+C323</f>
        <v>-0.79000000000005999</v>
      </c>
      <c r="B323" s="60">
        <v>0</v>
      </c>
      <c r="C323" s="70">
        <v>-0.79000000000005999</v>
      </c>
      <c r="D323" s="70">
        <v>1</v>
      </c>
      <c r="E323" s="71">
        <f t="shared" ref="E323:E386" si="40">-(A323-B323)*(A323-B323)/2</f>
        <v>-0.3120500000000474</v>
      </c>
      <c r="F323" s="72">
        <f t="shared" ref="F323:F386" si="41">(1/SQRT(2*PI()))*(EXP(E323))</f>
        <v>0.29200377952912759</v>
      </c>
      <c r="G323" s="70">
        <f t="shared" si="37"/>
        <v>1.0000000000000009E-2</v>
      </c>
      <c r="H323" s="60">
        <f t="shared" si="36"/>
        <v>2.9200377952912785E-3</v>
      </c>
      <c r="I323" s="60">
        <f t="shared" si="35"/>
        <v>0.21619481887547759</v>
      </c>
      <c r="J323" s="60">
        <f t="shared" si="38"/>
        <v>0.21476388416361961</v>
      </c>
    </row>
    <row r="324" spans="1:10" x14ac:dyDescent="0.3">
      <c r="A324" s="70">
        <f t="shared" si="39"/>
        <v>-0.78000000000005998</v>
      </c>
      <c r="B324" s="60">
        <v>0</v>
      </c>
      <c r="C324" s="70">
        <v>-0.78000000000005998</v>
      </c>
      <c r="D324" s="70">
        <v>1</v>
      </c>
      <c r="E324" s="71">
        <f t="shared" si="40"/>
        <v>-0.30420000000004677</v>
      </c>
      <c r="F324" s="72">
        <f t="shared" si="41"/>
        <v>0.29430502978831136</v>
      </c>
      <c r="G324" s="70">
        <f t="shared" si="37"/>
        <v>1.0000000000000009E-2</v>
      </c>
      <c r="H324" s="60">
        <f t="shared" si="36"/>
        <v>2.9430502978831162E-3</v>
      </c>
      <c r="I324" s="60">
        <f t="shared" si="35"/>
        <v>0.2191378691733607</v>
      </c>
      <c r="J324" s="60">
        <f t="shared" si="38"/>
        <v>0.21769543758571547</v>
      </c>
    </row>
    <row r="325" spans="1:10" x14ac:dyDescent="0.3">
      <c r="A325" s="70">
        <f t="shared" si="39"/>
        <v>-0.77000000000005997</v>
      </c>
      <c r="B325" s="60">
        <v>0</v>
      </c>
      <c r="C325" s="70">
        <v>-0.77000000000005997</v>
      </c>
      <c r="D325" s="70">
        <v>1</v>
      </c>
      <c r="E325" s="71">
        <f t="shared" si="40"/>
        <v>-0.29645000000004618</v>
      </c>
      <c r="F325" s="72">
        <f t="shared" si="41"/>
        <v>0.29659475499380206</v>
      </c>
      <c r="G325" s="70">
        <f t="shared" si="37"/>
        <v>1.0000000000000009E-2</v>
      </c>
      <c r="H325" s="60">
        <f t="shared" si="36"/>
        <v>2.9659475499380231E-3</v>
      </c>
      <c r="I325" s="60">
        <f t="shared" ref="I325:I388" si="42">H325+I324</f>
        <v>0.22210381672329874</v>
      </c>
      <c r="J325" s="60">
        <f t="shared" si="38"/>
        <v>0.22064994634263183</v>
      </c>
    </row>
    <row r="326" spans="1:10" x14ac:dyDescent="0.3">
      <c r="A326" s="70">
        <f t="shared" si="39"/>
        <v>-0.76000000000005996</v>
      </c>
      <c r="B326" s="60">
        <v>0</v>
      </c>
      <c r="C326" s="70">
        <v>-0.76000000000005996</v>
      </c>
      <c r="D326" s="70">
        <v>1</v>
      </c>
      <c r="E326" s="71">
        <f t="shared" si="40"/>
        <v>-0.28880000000004558</v>
      </c>
      <c r="F326" s="72">
        <f t="shared" si="41"/>
        <v>0.29887240577593915</v>
      </c>
      <c r="G326" s="70">
        <f t="shared" si="37"/>
        <v>1.0000000000000009E-2</v>
      </c>
      <c r="H326" s="60">
        <f t="shared" si="36"/>
        <v>2.9887240577593944E-3</v>
      </c>
      <c r="I326" s="60">
        <f t="shared" si="42"/>
        <v>0.22509254078105814</v>
      </c>
      <c r="J326" s="60">
        <f t="shared" si="38"/>
        <v>0.2236272924375815</v>
      </c>
    </row>
    <row r="327" spans="1:10" x14ac:dyDescent="0.3">
      <c r="A327" s="70">
        <f t="shared" si="39"/>
        <v>-0.75000000000005995</v>
      </c>
      <c r="B327" s="60">
        <v>0</v>
      </c>
      <c r="C327" s="70">
        <v>-0.75000000000005995</v>
      </c>
      <c r="D327" s="70">
        <v>1</v>
      </c>
      <c r="E327" s="71">
        <f t="shared" si="40"/>
        <v>-0.28125000000004496</v>
      </c>
      <c r="F327" s="72">
        <f t="shared" si="41"/>
        <v>0.30113743215479088</v>
      </c>
      <c r="G327" s="70">
        <f t="shared" si="37"/>
        <v>9.9999999999998979E-3</v>
      </c>
      <c r="H327" s="60">
        <f t="shared" si="36"/>
        <v>3.011374321547878E-3</v>
      </c>
      <c r="I327" s="60">
        <f t="shared" si="42"/>
        <v>0.22810391510260603</v>
      </c>
      <c r="J327" s="60">
        <f t="shared" si="38"/>
        <v>0.22662735237685006</v>
      </c>
    </row>
    <row r="328" spans="1:10" x14ac:dyDescent="0.3">
      <c r="A328" s="70">
        <f t="shared" si="39"/>
        <v>-0.74000000000006005</v>
      </c>
      <c r="B328" s="60">
        <v>0</v>
      </c>
      <c r="C328" s="70">
        <v>-0.74000000000006005</v>
      </c>
      <c r="D328" s="70">
        <v>1</v>
      </c>
      <c r="E328" s="71">
        <f t="shared" si="40"/>
        <v>-0.27380000000004445</v>
      </c>
      <c r="F328" s="72">
        <f t="shared" si="41"/>
        <v>0.30338928375628665</v>
      </c>
      <c r="G328" s="70">
        <f t="shared" si="37"/>
        <v>1.0000000000000009E-2</v>
      </c>
      <c r="H328" s="60">
        <f t="shared" si="36"/>
        <v>3.0338928375628692E-3</v>
      </c>
      <c r="I328" s="60">
        <f t="shared" si="42"/>
        <v>0.23113780794016889</v>
      </c>
      <c r="J328" s="60">
        <f t="shared" si="38"/>
        <v>0.22964999716477238</v>
      </c>
    </row>
    <row r="329" spans="1:10" x14ac:dyDescent="0.3">
      <c r="A329" s="70">
        <f t="shared" si="39"/>
        <v>-0.73000000000006005</v>
      </c>
      <c r="B329" s="60">
        <v>0</v>
      </c>
      <c r="C329" s="70">
        <v>-0.73000000000006005</v>
      </c>
      <c r="D329" s="70">
        <v>1</v>
      </c>
      <c r="E329" s="71">
        <f t="shared" si="40"/>
        <v>-0.26645000000004382</v>
      </c>
      <c r="F329" s="72">
        <f t="shared" si="41"/>
        <v>0.30562741003019656</v>
      </c>
      <c r="G329" s="70">
        <f t="shared" si="37"/>
        <v>1.0000000000000009E-2</v>
      </c>
      <c r="H329" s="60">
        <f t="shared" si="36"/>
        <v>3.0562741003019684E-3</v>
      </c>
      <c r="I329" s="60">
        <f t="shared" si="42"/>
        <v>0.23419408204047085</v>
      </c>
      <c r="J329" s="60">
        <f t="shared" si="38"/>
        <v>0.23269509230087901</v>
      </c>
    </row>
    <row r="330" spans="1:10" x14ac:dyDescent="0.3">
      <c r="A330" s="70">
        <f t="shared" si="39"/>
        <v>-0.72000000000006004</v>
      </c>
      <c r="B330" s="60">
        <v>0</v>
      </c>
      <c r="C330" s="70">
        <v>-0.72000000000006004</v>
      </c>
      <c r="D330" s="70">
        <v>1</v>
      </c>
      <c r="E330" s="71">
        <f t="shared" si="40"/>
        <v>-0.25920000000004323</v>
      </c>
      <c r="F330" s="72">
        <f t="shared" si="41"/>
        <v>0.30785126046983963</v>
      </c>
      <c r="G330" s="70">
        <f t="shared" si="37"/>
        <v>1.0000000000000009E-2</v>
      </c>
      <c r="H330" s="60">
        <f t="shared" si="36"/>
        <v>3.0785126046983988E-3</v>
      </c>
      <c r="I330" s="60">
        <f t="shared" si="42"/>
        <v>0.23727259464516925</v>
      </c>
      <c r="J330" s="60">
        <f t="shared" si="38"/>
        <v>0.23576249777923269</v>
      </c>
    </row>
    <row r="331" spans="1:10" x14ac:dyDescent="0.3">
      <c r="A331" s="70">
        <f t="shared" si="39"/>
        <v>-0.71000000000006003</v>
      </c>
      <c r="B331" s="60">
        <v>0</v>
      </c>
      <c r="C331" s="70">
        <v>-0.71000000000006003</v>
      </c>
      <c r="D331" s="70">
        <v>1</v>
      </c>
      <c r="E331" s="71">
        <f t="shared" si="40"/>
        <v>-0.25205000000004263</v>
      </c>
      <c r="F331" s="72">
        <f t="shared" si="41"/>
        <v>0.31006028483340292</v>
      </c>
      <c r="G331" s="70">
        <f t="shared" si="37"/>
        <v>1.0000000000000009E-2</v>
      </c>
      <c r="H331" s="60">
        <f t="shared" si="36"/>
        <v>3.100602848334032E-3</v>
      </c>
      <c r="I331" s="60">
        <f t="shared" si="42"/>
        <v>0.24037319749350328</v>
      </c>
      <c r="J331" s="60">
        <f t="shared" si="38"/>
        <v>0.23885206808996814</v>
      </c>
    </row>
    <row r="332" spans="1:10" x14ac:dyDescent="0.3">
      <c r="A332" s="70">
        <f t="shared" si="39"/>
        <v>-0.70000000000006002</v>
      </c>
      <c r="B332" s="60">
        <v>0</v>
      </c>
      <c r="C332" s="70">
        <v>-0.70000000000006002</v>
      </c>
      <c r="D332" s="70">
        <v>1</v>
      </c>
      <c r="E332" s="71">
        <f t="shared" si="40"/>
        <v>-0.24500000000004202</v>
      </c>
      <c r="F332" s="72">
        <f t="shared" si="41"/>
        <v>0.31225393336674817</v>
      </c>
      <c r="G332" s="70">
        <f t="shared" si="37"/>
        <v>1.0000000000000009E-2</v>
      </c>
      <c r="H332" s="60">
        <f t="shared" si="36"/>
        <v>3.1225393336674844E-3</v>
      </c>
      <c r="I332" s="60">
        <f t="shared" si="42"/>
        <v>0.24349573682717077</v>
      </c>
      <c r="J332" s="60">
        <f t="shared" si="38"/>
        <v>0.24196365222305422</v>
      </c>
    </row>
    <row r="333" spans="1:10" x14ac:dyDescent="0.3">
      <c r="A333" s="70">
        <f t="shared" si="39"/>
        <v>-0.69000000000006001</v>
      </c>
      <c r="B333" s="60">
        <v>0</v>
      </c>
      <c r="C333" s="70">
        <v>-0.69000000000006001</v>
      </c>
      <c r="D333" s="70">
        <v>1</v>
      </c>
      <c r="E333" s="71">
        <f t="shared" si="40"/>
        <v>-0.2380500000000414</v>
      </c>
      <c r="F333" s="72">
        <f t="shared" si="41"/>
        <v>0.3144316570275843</v>
      </c>
      <c r="G333" s="70">
        <f t="shared" si="37"/>
        <v>1.0000000000000009E-2</v>
      </c>
      <c r="H333" s="60">
        <f t="shared" si="36"/>
        <v>3.1443165702758459E-3</v>
      </c>
      <c r="I333" s="60">
        <f t="shared" si="42"/>
        <v>0.2466400533974466</v>
      </c>
      <c r="J333" s="60">
        <f t="shared" si="38"/>
        <v>0.24509709367429056</v>
      </c>
    </row>
    <row r="334" spans="1:10" x14ac:dyDescent="0.3">
      <c r="A334" s="70">
        <f t="shared" si="39"/>
        <v>-0.68000000000006</v>
      </c>
      <c r="B334" s="60">
        <v>0</v>
      </c>
      <c r="C334" s="70">
        <v>-0.68000000000006</v>
      </c>
      <c r="D334" s="70">
        <v>1</v>
      </c>
      <c r="E334" s="71">
        <f t="shared" si="40"/>
        <v>-0.23120000000004079</v>
      </c>
      <c r="F334" s="72">
        <f t="shared" si="41"/>
        <v>0.31659290771087989</v>
      </c>
      <c r="G334" s="70">
        <f t="shared" si="37"/>
        <v>1.0000000000000009E-2</v>
      </c>
      <c r="H334" s="60">
        <f t="shared" si="36"/>
        <v>3.1659290771088016E-3</v>
      </c>
      <c r="I334" s="60">
        <f t="shared" si="42"/>
        <v>0.2498059824745554</v>
      </c>
      <c r="J334" s="60">
        <f t="shared" si="38"/>
        <v>0.24825223045355149</v>
      </c>
    </row>
    <row r="335" spans="1:10" x14ac:dyDescent="0.3">
      <c r="A335" s="70">
        <f t="shared" si="39"/>
        <v>-0.67000000000005999</v>
      </c>
      <c r="B335" s="60">
        <v>0</v>
      </c>
      <c r="C335" s="70">
        <v>-0.67000000000005999</v>
      </c>
      <c r="D335" s="70">
        <v>1</v>
      </c>
      <c r="E335" s="71">
        <f t="shared" si="40"/>
        <v>-0.2244500000000402</v>
      </c>
      <c r="F335" s="72">
        <f t="shared" si="41"/>
        <v>0.3187371384753887</v>
      </c>
      <c r="G335" s="70">
        <f t="shared" si="37"/>
        <v>1.0000000000000009E-2</v>
      </c>
      <c r="H335" s="60">
        <f t="shared" si="36"/>
        <v>3.1873713847538898E-3</v>
      </c>
      <c r="I335" s="60">
        <f t="shared" si="42"/>
        <v>0.25299335385930932</v>
      </c>
      <c r="J335" s="60">
        <f t="shared" si="38"/>
        <v>0.25142889509529098</v>
      </c>
    </row>
    <row r="336" spans="1:10" x14ac:dyDescent="0.3">
      <c r="A336" s="70">
        <f t="shared" si="39"/>
        <v>-0.66000000000005998</v>
      </c>
      <c r="B336" s="60">
        <v>0</v>
      </c>
      <c r="C336" s="70">
        <v>-0.66000000000005998</v>
      </c>
      <c r="D336" s="70">
        <v>1</v>
      </c>
      <c r="E336" s="71">
        <f t="shared" si="40"/>
        <v>-0.2178000000000396</v>
      </c>
      <c r="F336" s="72">
        <f t="shared" si="41"/>
        <v>0.32086380377115981</v>
      </c>
      <c r="G336" s="70">
        <f t="shared" si="37"/>
        <v>1.0000000000000009E-2</v>
      </c>
      <c r="H336" s="60">
        <f t="shared" si="36"/>
        <v>3.208638037711601E-3</v>
      </c>
      <c r="I336" s="60">
        <f t="shared" si="42"/>
        <v>0.25620199189702092</v>
      </c>
      <c r="J336" s="60">
        <f t="shared" si="38"/>
        <v>0.25462691467131682</v>
      </c>
    </row>
    <row r="337" spans="1:10" x14ac:dyDescent="0.3">
      <c r="A337" s="70">
        <f t="shared" si="39"/>
        <v>-0.65000000000005997</v>
      </c>
      <c r="B337" s="60">
        <v>0</v>
      </c>
      <c r="C337" s="70">
        <v>-0.65000000000005997</v>
      </c>
      <c r="D337" s="70">
        <v>1</v>
      </c>
      <c r="E337" s="71">
        <f t="shared" si="40"/>
        <v>-0.21125000000003899</v>
      </c>
      <c r="F337" s="72">
        <f t="shared" si="41"/>
        <v>0.32297235966790172</v>
      </c>
      <c r="G337" s="70">
        <f t="shared" si="37"/>
        <v>1.0000000000000009E-2</v>
      </c>
      <c r="H337" s="60">
        <f t="shared" si="36"/>
        <v>3.2297235966790199E-3</v>
      </c>
      <c r="I337" s="60">
        <f t="shared" si="42"/>
        <v>0.25943171549369992</v>
      </c>
      <c r="J337" s="60">
        <f t="shared" si="38"/>
        <v>0.25784611080584535</v>
      </c>
    </row>
    <row r="338" spans="1:10" x14ac:dyDescent="0.3">
      <c r="A338" s="70">
        <f t="shared" si="39"/>
        <v>-0.64000000000005997</v>
      </c>
      <c r="B338" s="60">
        <v>0</v>
      </c>
      <c r="C338" s="70">
        <v>-0.64000000000005997</v>
      </c>
      <c r="D338" s="70">
        <v>1</v>
      </c>
      <c r="E338" s="71">
        <f t="shared" si="40"/>
        <v>-0.20480000000003837</v>
      </c>
      <c r="F338" s="72">
        <f t="shared" si="41"/>
        <v>0.32506226408406969</v>
      </c>
      <c r="G338" s="70">
        <f t="shared" si="37"/>
        <v>1.0000000000000009E-2</v>
      </c>
      <c r="H338" s="60">
        <f t="shared" si="36"/>
        <v>3.2506226408406998E-3</v>
      </c>
      <c r="I338" s="60">
        <f t="shared" si="42"/>
        <v>0.26268233813454062</v>
      </c>
      <c r="J338" s="60">
        <f t="shared" si="38"/>
        <v>0.26108629969284214</v>
      </c>
    </row>
    <row r="339" spans="1:10" x14ac:dyDescent="0.3">
      <c r="A339" s="70">
        <f t="shared" si="39"/>
        <v>-0.63000000000005996</v>
      </c>
      <c r="B339" s="60">
        <v>0</v>
      </c>
      <c r="C339" s="70">
        <v>-0.63000000000005996</v>
      </c>
      <c r="D339" s="70">
        <v>1</v>
      </c>
      <c r="E339" s="71">
        <f t="shared" si="40"/>
        <v>-0.19845000000003776</v>
      </c>
      <c r="F339" s="72">
        <f t="shared" si="41"/>
        <v>0.32713297701654215</v>
      </c>
      <c r="G339" s="70">
        <f t="shared" si="37"/>
        <v>1.0000000000000009E-2</v>
      </c>
      <c r="H339" s="60">
        <f t="shared" si="36"/>
        <v>3.2713297701654244E-3</v>
      </c>
      <c r="I339" s="60">
        <f t="shared" si="42"/>
        <v>0.26595366790470604</v>
      </c>
      <c r="J339" s="60">
        <f t="shared" si="38"/>
        <v>0.26434729211565788</v>
      </c>
    </row>
    <row r="340" spans="1:10" x14ac:dyDescent="0.3">
      <c r="A340" s="70">
        <f t="shared" si="39"/>
        <v>-0.62000000000005995</v>
      </c>
      <c r="B340" s="60">
        <v>0</v>
      </c>
      <c r="C340" s="70">
        <v>-0.62000000000005995</v>
      </c>
      <c r="D340" s="70">
        <v>1</v>
      </c>
      <c r="E340" s="71">
        <f t="shared" si="40"/>
        <v>-0.19220000000003717</v>
      </c>
      <c r="F340" s="72">
        <f t="shared" si="41"/>
        <v>0.32918396077075257</v>
      </c>
      <c r="G340" s="70">
        <f t="shared" si="37"/>
        <v>9.9999999999998979E-3</v>
      </c>
      <c r="H340" s="60">
        <f t="shared" si="36"/>
        <v>3.2918396077074919E-3</v>
      </c>
      <c r="I340" s="60">
        <f t="shared" si="42"/>
        <v>0.26924550751241355</v>
      </c>
      <c r="J340" s="60">
        <f t="shared" si="38"/>
        <v>0.26762889346896324</v>
      </c>
    </row>
    <row r="341" spans="1:10" x14ac:dyDescent="0.3">
      <c r="A341" s="70">
        <f t="shared" si="39"/>
        <v>-0.61000000000006005</v>
      </c>
      <c r="B341" s="60">
        <v>0</v>
      </c>
      <c r="C341" s="70">
        <v>-0.61000000000006005</v>
      </c>
      <c r="D341" s="70">
        <v>1</v>
      </c>
      <c r="E341" s="71">
        <f t="shared" si="40"/>
        <v>-0.18605000000003663</v>
      </c>
      <c r="F341" s="72">
        <f t="shared" si="41"/>
        <v>0.33121468019114081</v>
      </c>
      <c r="G341" s="70">
        <f t="shared" si="37"/>
        <v>1.0000000000000009E-2</v>
      </c>
      <c r="H341" s="60">
        <f t="shared" si="36"/>
        <v>3.3121468019114112E-3</v>
      </c>
      <c r="I341" s="60">
        <f t="shared" si="42"/>
        <v>0.27255765431432494</v>
      </c>
      <c r="J341" s="60">
        <f t="shared" si="38"/>
        <v>0.27093090378298573</v>
      </c>
    </row>
    <row r="342" spans="1:10" x14ac:dyDescent="0.3">
      <c r="A342" s="70">
        <f t="shared" si="39"/>
        <v>-0.60000000000006004</v>
      </c>
      <c r="B342" s="60">
        <v>0</v>
      </c>
      <c r="C342" s="70">
        <v>-0.60000000000006004</v>
      </c>
      <c r="D342" s="70">
        <v>1</v>
      </c>
      <c r="E342" s="71">
        <f t="shared" si="40"/>
        <v>-0.18000000000003602</v>
      </c>
      <c r="F342" s="72">
        <f t="shared" si="41"/>
        <v>0.33322460289178762</v>
      </c>
      <c r="G342" s="70">
        <f t="shared" si="37"/>
        <v>1.0000000000000009E-2</v>
      </c>
      <c r="H342" s="60">
        <f t="shared" si="36"/>
        <v>3.332246028917879E-3</v>
      </c>
      <c r="I342" s="60">
        <f t="shared" si="42"/>
        <v>0.27588990034324279</v>
      </c>
      <c r="J342" s="60">
        <f t="shared" si="38"/>
        <v>0.27425311775005357</v>
      </c>
    </row>
    <row r="343" spans="1:10" x14ac:dyDescent="0.3">
      <c r="A343" s="70">
        <f t="shared" si="39"/>
        <v>-0.59000000000006003</v>
      </c>
      <c r="B343" s="60">
        <v>0</v>
      </c>
      <c r="C343" s="70">
        <v>-0.59000000000006003</v>
      </c>
      <c r="D343" s="70">
        <v>1</v>
      </c>
      <c r="E343" s="71">
        <f t="shared" si="40"/>
        <v>-0.17405000000003543</v>
      </c>
      <c r="F343" s="72">
        <f t="shared" si="41"/>
        <v>0.33521319948709422</v>
      </c>
      <c r="G343" s="70">
        <f t="shared" si="37"/>
        <v>1.0000000000000009E-2</v>
      </c>
      <c r="H343" s="60">
        <f t="shared" si="36"/>
        <v>3.3521319948709451E-3</v>
      </c>
      <c r="I343" s="60">
        <f t="shared" si="42"/>
        <v>0.27924203233811373</v>
      </c>
      <c r="J343" s="60">
        <f t="shared" si="38"/>
        <v>0.27759532475344473</v>
      </c>
    </row>
    <row r="344" spans="1:10" x14ac:dyDescent="0.3">
      <c r="A344" s="70">
        <f t="shared" si="39"/>
        <v>-0.58000000000006002</v>
      </c>
      <c r="B344" s="60">
        <v>0</v>
      </c>
      <c r="C344" s="70">
        <v>-0.58000000000006002</v>
      </c>
      <c r="D344" s="70">
        <v>1</v>
      </c>
      <c r="E344" s="71">
        <f t="shared" si="40"/>
        <v>-0.16820000000003482</v>
      </c>
      <c r="F344" s="72">
        <f t="shared" si="41"/>
        <v>0.33717994382236882</v>
      </c>
      <c r="G344" s="70">
        <f t="shared" si="37"/>
        <v>1.0000000000000009E-2</v>
      </c>
      <c r="H344" s="60">
        <f t="shared" si="36"/>
        <v>3.3717994382236913E-3</v>
      </c>
      <c r="I344" s="60">
        <f t="shared" si="42"/>
        <v>0.28261383177633742</v>
      </c>
      <c r="J344" s="60">
        <f t="shared" si="38"/>
        <v>0.28095730889854409</v>
      </c>
    </row>
    <row r="345" spans="1:10" x14ac:dyDescent="0.3">
      <c r="A345" s="70">
        <f t="shared" si="39"/>
        <v>-0.57000000000006001</v>
      </c>
      <c r="B345" s="60">
        <v>0</v>
      </c>
      <c r="C345" s="70">
        <v>-0.57000000000006001</v>
      </c>
      <c r="D345" s="70">
        <v>1</v>
      </c>
      <c r="E345" s="71">
        <f t="shared" si="40"/>
        <v>-0.16245000000003421</v>
      </c>
      <c r="F345" s="72">
        <f t="shared" si="41"/>
        <v>0.33912431320418063</v>
      </c>
      <c r="G345" s="70">
        <f t="shared" si="37"/>
        <v>1.0000000000000009E-2</v>
      </c>
      <c r="H345" s="60">
        <f t="shared" si="36"/>
        <v>3.3912431320418093E-3</v>
      </c>
      <c r="I345" s="60">
        <f t="shared" si="42"/>
        <v>0.28600507490837923</v>
      </c>
      <c r="J345" s="60">
        <f t="shared" si="38"/>
        <v>0.28433884904630374</v>
      </c>
    </row>
    <row r="346" spans="1:10" x14ac:dyDescent="0.3">
      <c r="A346" s="70">
        <f t="shared" si="39"/>
        <v>-0.56000000000006001</v>
      </c>
      <c r="B346" s="60">
        <v>0</v>
      </c>
      <c r="C346" s="70">
        <v>-0.56000000000006001</v>
      </c>
      <c r="D346" s="70">
        <v>1</v>
      </c>
      <c r="E346" s="71">
        <f t="shared" si="40"/>
        <v>-0.15680000000003361</v>
      </c>
      <c r="F346" s="72">
        <f t="shared" si="41"/>
        <v>0.34104578863034107</v>
      </c>
      <c r="G346" s="70">
        <f t="shared" si="37"/>
        <v>1.0000000000000009E-2</v>
      </c>
      <c r="H346" s="60">
        <f t="shared" si="36"/>
        <v>3.4104578863034139E-3</v>
      </c>
      <c r="I346" s="60">
        <f t="shared" si="42"/>
        <v>0.28941553279468263</v>
      </c>
      <c r="J346" s="60">
        <f t="shared" si="38"/>
        <v>0.28773971884900651</v>
      </c>
    </row>
    <row r="347" spans="1:10" x14ac:dyDescent="0.3">
      <c r="A347" s="70">
        <f t="shared" si="39"/>
        <v>-0.55000000000006</v>
      </c>
      <c r="B347" s="60">
        <v>0</v>
      </c>
      <c r="C347" s="70">
        <v>-0.55000000000006</v>
      </c>
      <c r="D347" s="70">
        <v>1</v>
      </c>
      <c r="E347" s="71">
        <f t="shared" si="40"/>
        <v>-0.151250000000033</v>
      </c>
      <c r="F347" s="72">
        <f t="shared" si="41"/>
        <v>0.34294385501937258</v>
      </c>
      <c r="G347" s="70">
        <f t="shared" si="37"/>
        <v>1.0000000000000009E-2</v>
      </c>
      <c r="H347" s="60">
        <f t="shared" si="36"/>
        <v>3.429438550193729E-3</v>
      </c>
      <c r="I347" s="60">
        <f t="shared" si="42"/>
        <v>0.29284497134487636</v>
      </c>
      <c r="J347" s="60">
        <f t="shared" si="38"/>
        <v>0.29115968678832571</v>
      </c>
    </row>
    <row r="348" spans="1:10" x14ac:dyDescent="0.3">
      <c r="A348" s="70">
        <f t="shared" si="39"/>
        <v>-0.54000000000005999</v>
      </c>
      <c r="B348" s="60">
        <v>0</v>
      </c>
      <c r="C348" s="70">
        <v>-0.54000000000005999</v>
      </c>
      <c r="D348" s="70">
        <v>1</v>
      </c>
      <c r="E348" s="71">
        <f t="shared" si="40"/>
        <v>-0.1458000000000324</v>
      </c>
      <c r="F348" s="72">
        <f t="shared" si="41"/>
        <v>0.34481800143932217</v>
      </c>
      <c r="G348" s="70">
        <f t="shared" si="37"/>
        <v>1.0000000000000009E-2</v>
      </c>
      <c r="H348" s="60">
        <f t="shared" si="36"/>
        <v>3.4481800143932248E-3</v>
      </c>
      <c r="I348" s="60">
        <f t="shared" si="42"/>
        <v>0.29629315135926959</v>
      </c>
      <c r="J348" s="60">
        <f t="shared" si="38"/>
        <v>0.29459851621567734</v>
      </c>
    </row>
    <row r="349" spans="1:10" x14ac:dyDescent="0.3">
      <c r="A349" s="70">
        <f t="shared" si="39"/>
        <v>-0.53000000000005998</v>
      </c>
      <c r="B349" s="60">
        <v>0</v>
      </c>
      <c r="C349" s="70">
        <v>-0.53000000000005998</v>
      </c>
      <c r="D349" s="70">
        <v>1</v>
      </c>
      <c r="E349" s="71">
        <f t="shared" si="40"/>
        <v>-0.1404500000000318</v>
      </c>
      <c r="F349" s="72">
        <f t="shared" si="41"/>
        <v>0.34666772133578061</v>
      </c>
      <c r="G349" s="70">
        <f t="shared" si="37"/>
        <v>1.0000000000001008E-2</v>
      </c>
      <c r="H349" s="60">
        <f t="shared" si="36"/>
        <v>3.4666772133581554E-3</v>
      </c>
      <c r="I349" s="60">
        <f t="shared" si="42"/>
        <v>0.29975982857262773</v>
      </c>
      <c r="J349" s="60">
        <f t="shared" si="38"/>
        <v>0.29805596539485563</v>
      </c>
    </row>
    <row r="350" spans="1:10" x14ac:dyDescent="0.3">
      <c r="A350" s="70">
        <f t="shared" si="39"/>
        <v>-0.52000000000005897</v>
      </c>
      <c r="B350" s="60">
        <v>0</v>
      </c>
      <c r="C350" s="70">
        <v>-0.52000000000005897</v>
      </c>
      <c r="D350" s="70">
        <v>1</v>
      </c>
      <c r="E350" s="71">
        <f t="shared" si="40"/>
        <v>-0.13520000000003066</v>
      </c>
      <c r="F350" s="72">
        <f t="shared" si="41"/>
        <v>0.34849251275896381</v>
      </c>
      <c r="G350" s="70">
        <f t="shared" si="37"/>
        <v>1.0000000000000009E-2</v>
      </c>
      <c r="H350" s="60">
        <f t="shared" si="36"/>
        <v>3.4849251275896414E-3</v>
      </c>
      <c r="I350" s="60">
        <f t="shared" si="42"/>
        <v>0.30324475370021736</v>
      </c>
      <c r="J350" s="60">
        <f t="shared" si="38"/>
        <v>0.30153178754694565</v>
      </c>
    </row>
    <row r="351" spans="1:10" x14ac:dyDescent="0.3">
      <c r="A351" s="70">
        <f t="shared" si="39"/>
        <v>-0.51000000000005896</v>
      </c>
      <c r="B351" s="60">
        <v>0</v>
      </c>
      <c r="C351" s="70">
        <v>-0.51000000000005896</v>
      </c>
      <c r="D351" s="70">
        <v>1</v>
      </c>
      <c r="E351" s="71">
        <f t="shared" si="40"/>
        <v>-0.13005000000003006</v>
      </c>
      <c r="F351" s="72">
        <f t="shared" si="41"/>
        <v>0.35029187858971528</v>
      </c>
      <c r="G351" s="70">
        <f t="shared" si="37"/>
        <v>1.0000000000000009E-2</v>
      </c>
      <c r="H351" s="60">
        <f t="shared" si="36"/>
        <v>3.5029187858971558E-3</v>
      </c>
      <c r="I351" s="60">
        <f t="shared" si="42"/>
        <v>0.30674767248611451</v>
      </c>
      <c r="J351" s="60">
        <f t="shared" si="38"/>
        <v>0.30502573089749874</v>
      </c>
    </row>
    <row r="352" spans="1:10" x14ac:dyDescent="0.3">
      <c r="A352" s="70">
        <f t="shared" si="39"/>
        <v>-0.50000000000005895</v>
      </c>
      <c r="B352" s="60">
        <v>0</v>
      </c>
      <c r="C352" s="70">
        <v>-0.50000000000005895</v>
      </c>
      <c r="D352" s="70">
        <v>1</v>
      </c>
      <c r="E352" s="71">
        <f t="shared" si="40"/>
        <v>-0.12500000000002948</v>
      </c>
      <c r="F352" s="72">
        <f t="shared" si="41"/>
        <v>0.35206532676428909</v>
      </c>
      <c r="G352" s="70">
        <f t="shared" si="37"/>
        <v>9.9999999999999534E-3</v>
      </c>
      <c r="H352" s="60">
        <f t="shared" si="36"/>
        <v>3.5206532676428743E-3</v>
      </c>
      <c r="I352" s="60">
        <f t="shared" si="42"/>
        <v>0.3102683257537574</v>
      </c>
      <c r="J352" s="60">
        <f t="shared" si="38"/>
        <v>0.30853753872596612</v>
      </c>
    </row>
    <row r="353" spans="1:10" x14ac:dyDescent="0.3">
      <c r="A353" s="70">
        <f t="shared" si="39"/>
        <v>-0.490000000000059</v>
      </c>
      <c r="B353" s="60">
        <v>0</v>
      </c>
      <c r="C353" s="70">
        <v>-0.490000000000059</v>
      </c>
      <c r="D353" s="70">
        <v>1</v>
      </c>
      <c r="E353" s="71">
        <f t="shared" si="40"/>
        <v>-0.12005000000002891</v>
      </c>
      <c r="F353" s="72">
        <f t="shared" si="41"/>
        <v>0.35381237049776948</v>
      </c>
      <c r="G353" s="70">
        <f t="shared" si="37"/>
        <v>1.0000000000000009E-2</v>
      </c>
      <c r="H353" s="60">
        <f t="shared" si="36"/>
        <v>3.538123704977698E-3</v>
      </c>
      <c r="I353" s="60">
        <f t="shared" si="42"/>
        <v>0.31380644945873509</v>
      </c>
      <c r="J353" s="60">
        <f t="shared" si="38"/>
        <v>0.31206694941736968</v>
      </c>
    </row>
    <row r="354" spans="1:10" x14ac:dyDescent="0.3">
      <c r="A354" s="70">
        <f t="shared" si="39"/>
        <v>-0.48000000000005899</v>
      </c>
      <c r="B354" s="60">
        <v>0</v>
      </c>
      <c r="C354" s="70">
        <v>-0.48000000000005899</v>
      </c>
      <c r="D354" s="70">
        <v>1</v>
      </c>
      <c r="E354" s="71">
        <f t="shared" si="40"/>
        <v>-0.11520000000002832</v>
      </c>
      <c r="F354" s="72">
        <f t="shared" si="41"/>
        <v>0.35553252850598704</v>
      </c>
      <c r="G354" s="70">
        <f t="shared" si="37"/>
        <v>1.0000000000000009E-2</v>
      </c>
      <c r="H354" s="60">
        <f t="shared" si="36"/>
        <v>3.5553252850598735E-3</v>
      </c>
      <c r="I354" s="60">
        <f t="shared" si="42"/>
        <v>0.31736177474379496</v>
      </c>
      <c r="J354" s="60">
        <f t="shared" si="38"/>
        <v>0.31561369651620164</v>
      </c>
    </row>
    <row r="355" spans="1:10" x14ac:dyDescent="0.3">
      <c r="A355" s="70">
        <f t="shared" si="39"/>
        <v>-0.47000000000005898</v>
      </c>
      <c r="B355" s="60">
        <v>0</v>
      </c>
      <c r="C355" s="70">
        <v>-0.47000000000005898</v>
      </c>
      <c r="D355" s="70">
        <v>1</v>
      </c>
      <c r="E355" s="71">
        <f t="shared" si="40"/>
        <v>-0.11045000000002772</v>
      </c>
      <c r="F355" s="72">
        <f t="shared" si="41"/>
        <v>0.35722532522579092</v>
      </c>
      <c r="G355" s="70">
        <f t="shared" si="37"/>
        <v>1.0000000000000009E-2</v>
      </c>
      <c r="H355" s="60">
        <f t="shared" si="36"/>
        <v>3.5722532522579125E-3</v>
      </c>
      <c r="I355" s="60">
        <f t="shared" si="42"/>
        <v>0.32093402799605286</v>
      </c>
      <c r="J355" s="60">
        <f t="shared" si="38"/>
        <v>0.3191775087825347</v>
      </c>
    </row>
    <row r="356" spans="1:10" x14ac:dyDescent="0.3">
      <c r="A356" s="70">
        <f t="shared" si="39"/>
        <v>-0.46000000000005897</v>
      </c>
      <c r="B356" s="60">
        <v>0</v>
      </c>
      <c r="C356" s="70">
        <v>-0.46000000000005897</v>
      </c>
      <c r="D356" s="70">
        <v>1</v>
      </c>
      <c r="E356" s="71">
        <f t="shared" si="40"/>
        <v>-0.10580000000002712</v>
      </c>
      <c r="F356" s="72">
        <f t="shared" si="41"/>
        <v>0.35889029103353487</v>
      </c>
      <c r="G356" s="70">
        <f t="shared" si="37"/>
        <v>9.9999999999999534E-3</v>
      </c>
      <c r="H356" s="60">
        <f t="shared" si="36"/>
        <v>3.588902910335332E-3</v>
      </c>
      <c r="I356" s="60">
        <f t="shared" si="42"/>
        <v>0.32452293090638817</v>
      </c>
      <c r="J356" s="60">
        <f t="shared" si="38"/>
        <v>0.32275811025032652</v>
      </c>
    </row>
    <row r="357" spans="1:10" x14ac:dyDescent="0.3">
      <c r="A357" s="70">
        <f t="shared" si="39"/>
        <v>-0.45000000000005902</v>
      </c>
      <c r="B357" s="60">
        <v>0</v>
      </c>
      <c r="C357" s="70">
        <v>-0.45000000000005902</v>
      </c>
      <c r="D357" s="70">
        <v>1</v>
      </c>
      <c r="E357" s="71">
        <f t="shared" si="40"/>
        <v>-0.10125000000002655</v>
      </c>
      <c r="F357" s="72">
        <f t="shared" si="41"/>
        <v>0.3605269624616384</v>
      </c>
      <c r="G357" s="70">
        <f t="shared" si="37"/>
        <v>1.0000000000000009E-2</v>
      </c>
      <c r="H357" s="60">
        <f t="shared" si="36"/>
        <v>3.6052696246163872E-3</v>
      </c>
      <c r="I357" s="60">
        <f t="shared" si="42"/>
        <v>0.32812820053100455</v>
      </c>
      <c r="J357" s="60">
        <f t="shared" si="38"/>
        <v>0.32635522028789876</v>
      </c>
    </row>
    <row r="358" spans="1:10" x14ac:dyDescent="0.3">
      <c r="A358" s="70">
        <f t="shared" si="39"/>
        <v>-0.44000000000005901</v>
      </c>
      <c r="B358" s="60">
        <v>0</v>
      </c>
      <c r="C358" s="70">
        <v>-0.44000000000005901</v>
      </c>
      <c r="D358" s="70">
        <v>1</v>
      </c>
      <c r="E358" s="71">
        <f t="shared" si="40"/>
        <v>-9.6800000000025962E-2</v>
      </c>
      <c r="F358" s="72">
        <f t="shared" si="41"/>
        <v>0.36213488241308284</v>
      </c>
      <c r="G358" s="70">
        <f t="shared" si="37"/>
        <v>1.0000000000000009E-2</v>
      </c>
      <c r="H358" s="60">
        <f t="shared" si="36"/>
        <v>3.6213488241308316E-3</v>
      </c>
      <c r="I358" s="60">
        <f t="shared" si="42"/>
        <v>0.3317495493551354</v>
      </c>
      <c r="J358" s="60">
        <f t="shared" si="38"/>
        <v>0.32996855366057226</v>
      </c>
    </row>
    <row r="359" spans="1:10" x14ac:dyDescent="0.3">
      <c r="A359" s="70">
        <f t="shared" si="39"/>
        <v>-0.430000000000059</v>
      </c>
      <c r="B359" s="60">
        <v>0</v>
      </c>
      <c r="C359" s="70">
        <v>-0.430000000000059</v>
      </c>
      <c r="D359" s="70">
        <v>1</v>
      </c>
      <c r="E359" s="71">
        <f t="shared" si="40"/>
        <v>-9.2450000000025373E-2</v>
      </c>
      <c r="F359" s="72">
        <f t="shared" si="41"/>
        <v>0.3637136003737042</v>
      </c>
      <c r="G359" s="70">
        <f t="shared" si="37"/>
        <v>1.0000000000000009E-2</v>
      </c>
      <c r="H359" s="60">
        <f t="shared" si="36"/>
        <v>3.6371360037370454E-3</v>
      </c>
      <c r="I359" s="60">
        <f t="shared" si="42"/>
        <v>0.33538668535887245</v>
      </c>
      <c r="J359" s="60">
        <f t="shared" si="38"/>
        <v>0.33359782059543619</v>
      </c>
    </row>
    <row r="360" spans="1:10" x14ac:dyDescent="0.3">
      <c r="A360" s="70">
        <f t="shared" si="39"/>
        <v>-0.42000000000005899</v>
      </c>
      <c r="B360" s="60">
        <v>0</v>
      </c>
      <c r="C360" s="70">
        <v>-0.42000000000005899</v>
      </c>
      <c r="D360" s="70">
        <v>1</v>
      </c>
      <c r="E360" s="71">
        <f t="shared" si="40"/>
        <v>-8.8200000000024772E-2</v>
      </c>
      <c r="F360" s="72">
        <f t="shared" si="41"/>
        <v>0.36526267262214485</v>
      </c>
      <c r="G360" s="70">
        <f t="shared" si="37"/>
        <v>1.0000000000000009E-2</v>
      </c>
      <c r="H360" s="60">
        <f t="shared" si="36"/>
        <v>3.6526267262214519E-3</v>
      </c>
      <c r="I360" s="60">
        <f t="shared" si="42"/>
        <v>0.33903931208509391</v>
      </c>
      <c r="J360" s="60">
        <f t="shared" si="38"/>
        <v>0.33724272684822787</v>
      </c>
    </row>
    <row r="361" spans="1:10" x14ac:dyDescent="0.3">
      <c r="A361" s="70">
        <f t="shared" si="39"/>
        <v>-0.41000000000005898</v>
      </c>
      <c r="B361" s="60">
        <v>0</v>
      </c>
      <c r="C361" s="70">
        <v>-0.41000000000005898</v>
      </c>
      <c r="D361" s="70">
        <v>1</v>
      </c>
      <c r="E361" s="71">
        <f t="shared" si="40"/>
        <v>-8.4050000000024189E-2</v>
      </c>
      <c r="F361" s="72">
        <f t="shared" si="41"/>
        <v>0.36678166243732724</v>
      </c>
      <c r="G361" s="70">
        <f t="shared" si="37"/>
        <v>1.0000000000000009E-2</v>
      </c>
      <c r="H361" s="60">
        <f t="shared" si="36"/>
        <v>3.6678166243732757E-3</v>
      </c>
      <c r="I361" s="60">
        <f t="shared" si="42"/>
        <v>0.34270712870946718</v>
      </c>
      <c r="J361" s="60">
        <f t="shared" si="38"/>
        <v>0.34090297377230094</v>
      </c>
    </row>
    <row r="362" spans="1:10" x14ac:dyDescent="0.3">
      <c r="A362" s="70">
        <f t="shared" si="39"/>
        <v>-0.40000000000005898</v>
      </c>
      <c r="B362" s="60">
        <v>0</v>
      </c>
      <c r="C362" s="70">
        <v>-0.40000000000005898</v>
      </c>
      <c r="D362" s="70">
        <v>1</v>
      </c>
      <c r="E362" s="71">
        <f t="shared" si="40"/>
        <v>-8.0000000000023594E-2</v>
      </c>
      <c r="F362" s="72">
        <f t="shared" si="41"/>
        <v>0.36827014030331462</v>
      </c>
      <c r="G362" s="70">
        <f t="shared" si="37"/>
        <v>9.9999999999999534E-3</v>
      </c>
      <c r="H362" s="60">
        <f t="shared" si="36"/>
        <v>3.682701403033129E-3</v>
      </c>
      <c r="I362" s="60">
        <f t="shared" si="42"/>
        <v>0.3463898301125003</v>
      </c>
      <c r="J362" s="60">
        <f t="shared" si="38"/>
        <v>0.34457825838965406</v>
      </c>
    </row>
    <row r="363" spans="1:10" x14ac:dyDescent="0.3">
      <c r="A363" s="70">
        <f t="shared" si="39"/>
        <v>-0.39000000000005902</v>
      </c>
      <c r="B363" s="60">
        <v>0</v>
      </c>
      <c r="C363" s="70">
        <v>-0.39000000000005902</v>
      </c>
      <c r="D363" s="70">
        <v>1</v>
      </c>
      <c r="E363" s="71">
        <f t="shared" si="40"/>
        <v>-7.6050000000023016E-2</v>
      </c>
      <c r="F363" s="72">
        <f t="shared" si="41"/>
        <v>0.36972768411142387</v>
      </c>
      <c r="G363" s="70">
        <f t="shared" si="37"/>
        <v>1.0000000000000009E-2</v>
      </c>
      <c r="H363" s="60">
        <f t="shared" si="36"/>
        <v>3.6972768411142418E-3</v>
      </c>
      <c r="I363" s="60">
        <f t="shared" si="42"/>
        <v>0.35008710695361456</v>
      </c>
      <c r="J363" s="60">
        <f t="shared" si="38"/>
        <v>0.34826827346399575</v>
      </c>
    </row>
    <row r="364" spans="1:10" x14ac:dyDescent="0.3">
      <c r="A364" s="70">
        <f t="shared" si="39"/>
        <v>-0.38000000000005901</v>
      </c>
      <c r="B364" s="60">
        <v>0</v>
      </c>
      <c r="C364" s="70">
        <v>-0.38000000000005901</v>
      </c>
      <c r="D364" s="70">
        <v>1</v>
      </c>
      <c r="E364" s="71">
        <f t="shared" si="40"/>
        <v>-7.2200000000022427E-2</v>
      </c>
      <c r="F364" s="72">
        <f t="shared" si="41"/>
        <v>0.37115387935945771</v>
      </c>
      <c r="G364" s="70">
        <f t="shared" si="37"/>
        <v>1.0000000000000009E-2</v>
      </c>
      <c r="H364" s="60">
        <f t="shared" si="36"/>
        <v>3.7115387935945801E-3</v>
      </c>
      <c r="I364" s="60">
        <f t="shared" si="42"/>
        <v>0.35379864574720915</v>
      </c>
      <c r="J364" s="60">
        <f t="shared" si="38"/>
        <v>0.35197270757581534</v>
      </c>
    </row>
    <row r="365" spans="1:10" x14ac:dyDescent="0.3">
      <c r="A365" s="70">
        <f t="shared" si="39"/>
        <v>-0.370000000000059</v>
      </c>
      <c r="B365" s="60">
        <v>0</v>
      </c>
      <c r="C365" s="70">
        <v>-0.370000000000059</v>
      </c>
      <c r="D365" s="70">
        <v>1</v>
      </c>
      <c r="E365" s="71">
        <f t="shared" si="40"/>
        <v>-6.8450000000021827E-2</v>
      </c>
      <c r="F365" s="72">
        <f t="shared" si="41"/>
        <v>0.37254831934792532</v>
      </c>
      <c r="G365" s="70">
        <f t="shared" si="37"/>
        <v>1.0000000000000009E-2</v>
      </c>
      <c r="H365" s="60">
        <f t="shared" si="36"/>
        <v>3.7254831934792564E-3</v>
      </c>
      <c r="I365" s="60">
        <f t="shared" si="42"/>
        <v>0.35752412894068841</v>
      </c>
      <c r="J365" s="60">
        <f t="shared" si="38"/>
        <v>0.35569124519943124</v>
      </c>
    </row>
    <row r="366" spans="1:10" x14ac:dyDescent="0.3">
      <c r="A366" s="70">
        <f t="shared" si="39"/>
        <v>-0.360000000000059</v>
      </c>
      <c r="B366" s="60">
        <v>0</v>
      </c>
      <c r="C366" s="70">
        <v>-0.360000000000059</v>
      </c>
      <c r="D366" s="70">
        <v>1</v>
      </c>
      <c r="E366" s="71">
        <f t="shared" si="40"/>
        <v>-6.4800000000021243E-2</v>
      </c>
      <c r="F366" s="72">
        <f t="shared" si="41"/>
        <v>0.37391060537312043</v>
      </c>
      <c r="G366" s="70">
        <f t="shared" si="37"/>
        <v>1.0000000000000009E-2</v>
      </c>
      <c r="H366" s="60">
        <f t="shared" si="36"/>
        <v>3.7391060537312077E-3</v>
      </c>
      <c r="I366" s="60">
        <f t="shared" si="42"/>
        <v>0.36126323499441965</v>
      </c>
      <c r="J366" s="60">
        <f t="shared" si="38"/>
        <v>0.35942356678198673</v>
      </c>
    </row>
    <row r="367" spans="1:10" x14ac:dyDescent="0.3">
      <c r="A367" s="70">
        <f t="shared" si="39"/>
        <v>-0.35000000000005899</v>
      </c>
      <c r="B367" s="60">
        <v>0</v>
      </c>
      <c r="C367" s="70">
        <v>-0.35000000000005899</v>
      </c>
      <c r="D367" s="70">
        <v>1</v>
      </c>
      <c r="E367" s="71">
        <f t="shared" si="40"/>
        <v>-6.1250000000020642E-2</v>
      </c>
      <c r="F367" s="72">
        <f t="shared" si="41"/>
        <v>0.37524034691693015</v>
      </c>
      <c r="G367" s="70">
        <f t="shared" si="37"/>
        <v>1.0000000000000009E-2</v>
      </c>
      <c r="H367" s="60">
        <f t="shared" si="36"/>
        <v>3.7524034691693046E-3</v>
      </c>
      <c r="I367" s="60">
        <f t="shared" si="42"/>
        <v>0.36501563846358898</v>
      </c>
      <c r="J367" s="60">
        <f t="shared" si="38"/>
        <v>0.36316934882435881</v>
      </c>
    </row>
    <row r="368" spans="1:10" x14ac:dyDescent="0.3">
      <c r="A368" s="70">
        <f t="shared" si="39"/>
        <v>-0.34000000000005898</v>
      </c>
      <c r="B368" s="60">
        <v>0</v>
      </c>
      <c r="C368" s="70">
        <v>-0.34000000000005898</v>
      </c>
      <c r="D368" s="70">
        <v>1</v>
      </c>
      <c r="E368" s="71">
        <f t="shared" si="40"/>
        <v>-5.7800000000020051E-2</v>
      </c>
      <c r="F368" s="72">
        <f t="shared" si="41"/>
        <v>0.37653716183324643</v>
      </c>
      <c r="G368" s="70">
        <f t="shared" si="37"/>
        <v>9.9999999999999534E-3</v>
      </c>
      <c r="H368" s="60">
        <f t="shared" si="36"/>
        <v>3.7653716183324469E-3</v>
      </c>
      <c r="I368" s="60">
        <f t="shared" si="42"/>
        <v>0.36878101008192143</v>
      </c>
      <c r="J368" s="60">
        <f t="shared" si="38"/>
        <v>0.36692826396394973</v>
      </c>
    </row>
    <row r="369" spans="1:10" x14ac:dyDescent="0.3">
      <c r="A369" s="70">
        <f t="shared" si="39"/>
        <v>-0.33000000000005902</v>
      </c>
      <c r="B369" s="60">
        <v>0</v>
      </c>
      <c r="C369" s="70">
        <v>-0.33000000000005902</v>
      </c>
      <c r="D369" s="70">
        <v>1</v>
      </c>
      <c r="E369" s="71">
        <f t="shared" si="40"/>
        <v>-5.4450000000019476E-2</v>
      </c>
      <c r="F369" s="72">
        <f t="shared" si="41"/>
        <v>0.37780067653085725</v>
      </c>
      <c r="G369" s="70">
        <f t="shared" si="37"/>
        <v>1.0000000000000009E-2</v>
      </c>
      <c r="H369" s="60">
        <f t="shared" si="36"/>
        <v>3.778006765308576E-3</v>
      </c>
      <c r="I369" s="60">
        <f t="shared" si="42"/>
        <v>0.37255901684723003</v>
      </c>
      <c r="J369" s="60">
        <f t="shared" si="38"/>
        <v>0.37069998105932411</v>
      </c>
    </row>
    <row r="370" spans="1:10" x14ac:dyDescent="0.3">
      <c r="A370" s="70">
        <f t="shared" si="39"/>
        <v>-0.32000000000005902</v>
      </c>
      <c r="B370" s="60">
        <v>0</v>
      </c>
      <c r="C370" s="70">
        <v>-0.32000000000005902</v>
      </c>
      <c r="D370" s="70">
        <v>1</v>
      </c>
      <c r="E370" s="71">
        <f t="shared" si="40"/>
        <v>-5.1200000000018883E-2</v>
      </c>
      <c r="F370" s="72">
        <f t="shared" si="41"/>
        <v>0.37903052615269456</v>
      </c>
      <c r="G370" s="70">
        <f t="shared" si="37"/>
        <v>1.0000000000000009E-2</v>
      </c>
      <c r="H370" s="60">
        <f t="shared" si="36"/>
        <v>3.7903052615269489E-3</v>
      </c>
      <c r="I370" s="60">
        <f t="shared" si="42"/>
        <v>0.37634932210875699</v>
      </c>
      <c r="J370" s="60">
        <f t="shared" si="38"/>
        <v>0.37448416527665757</v>
      </c>
    </row>
    <row r="371" spans="1:10" x14ac:dyDescent="0.3">
      <c r="A371" s="70">
        <f t="shared" si="39"/>
        <v>-0.31000000000005901</v>
      </c>
      <c r="B371" s="60">
        <v>0</v>
      </c>
      <c r="C371" s="70">
        <v>-0.31000000000005901</v>
      </c>
      <c r="D371" s="70">
        <v>1</v>
      </c>
      <c r="E371" s="71">
        <f t="shared" si="40"/>
        <v>-4.8050000000018293E-2</v>
      </c>
      <c r="F371" s="72">
        <f t="shared" si="41"/>
        <v>0.38022635475131794</v>
      </c>
      <c r="G371" s="70">
        <f t="shared" si="37"/>
        <v>1.0000000000000009E-2</v>
      </c>
      <c r="H371" s="60">
        <f t="shared" si="36"/>
        <v>3.802263547513183E-3</v>
      </c>
      <c r="I371" s="60">
        <f t="shared" si="42"/>
        <v>0.38015158565627016</v>
      </c>
      <c r="J371" s="60">
        <f t="shared" si="38"/>
        <v>0.37828047817795823</v>
      </c>
    </row>
    <row r="372" spans="1:10" x14ac:dyDescent="0.3">
      <c r="A372" s="70">
        <f t="shared" si="39"/>
        <v>-0.300000000000059</v>
      </c>
      <c r="B372" s="60">
        <v>0</v>
      </c>
      <c r="C372" s="70">
        <v>-0.300000000000059</v>
      </c>
      <c r="D372" s="70">
        <v>1</v>
      </c>
      <c r="E372" s="71">
        <f t="shared" si="40"/>
        <v>-4.5000000000017699E-2</v>
      </c>
      <c r="F372" s="72">
        <f t="shared" si="41"/>
        <v>0.38138781546051737</v>
      </c>
      <c r="G372" s="70">
        <f t="shared" si="37"/>
        <v>1.0000000000000009E-2</v>
      </c>
      <c r="H372" s="60">
        <f t="shared" si="36"/>
        <v>3.8138781546051769E-3</v>
      </c>
      <c r="I372" s="60">
        <f t="shared" si="42"/>
        <v>0.38396546381087532</v>
      </c>
      <c r="J372" s="60">
        <f t="shared" si="38"/>
        <v>0.38208857781102484</v>
      </c>
    </row>
    <row r="373" spans="1:10" x14ac:dyDescent="0.3">
      <c r="A373" s="70">
        <f t="shared" si="39"/>
        <v>-0.29000000000005899</v>
      </c>
      <c r="B373" s="60">
        <v>0</v>
      </c>
      <c r="C373" s="70">
        <v>-0.29000000000005899</v>
      </c>
      <c r="D373" s="70">
        <v>1</v>
      </c>
      <c r="E373" s="71">
        <f t="shared" si="40"/>
        <v>-4.2050000000017108E-2</v>
      </c>
      <c r="F373" s="72">
        <f t="shared" si="41"/>
        <v>0.3825145706629175</v>
      </c>
      <c r="G373" s="70">
        <f t="shared" si="37"/>
        <v>1.0000000000000009E-2</v>
      </c>
      <c r="H373" s="60">
        <f t="shared" si="36"/>
        <v>3.8251457066291782E-3</v>
      </c>
      <c r="I373" s="60">
        <f t="shared" si="42"/>
        <v>0.38779060951750449</v>
      </c>
      <c r="J373" s="60">
        <f t="shared" si="38"/>
        <v>0.3859081188011001</v>
      </c>
    </row>
    <row r="374" spans="1:10" x14ac:dyDescent="0.3">
      <c r="A374" s="70">
        <f t="shared" si="39"/>
        <v>-0.28000000000005898</v>
      </c>
      <c r="B374" s="60">
        <v>0</v>
      </c>
      <c r="C374" s="70">
        <v>-0.28000000000005898</v>
      </c>
      <c r="D374" s="70">
        <v>1</v>
      </c>
      <c r="E374" s="71">
        <f t="shared" si="40"/>
        <v>-3.9200000000016513E-2</v>
      </c>
      <c r="F374" s="72">
        <f t="shared" si="41"/>
        <v>0.38360629215347219</v>
      </c>
      <c r="G374" s="70">
        <f t="shared" si="37"/>
        <v>9.9999999999999534E-3</v>
      </c>
      <c r="H374" s="60">
        <f t="shared" si="36"/>
        <v>3.8360629215347039E-3</v>
      </c>
      <c r="I374" s="60">
        <f t="shared" si="42"/>
        <v>0.3916266724390392</v>
      </c>
      <c r="J374" s="60">
        <f t="shared" si="38"/>
        <v>0.38973875244418016</v>
      </c>
    </row>
    <row r="375" spans="1:10" x14ac:dyDescent="0.3">
      <c r="A375" s="70">
        <f t="shared" si="39"/>
        <v>-0.27000000000005903</v>
      </c>
      <c r="B375" s="60">
        <v>0</v>
      </c>
      <c r="C375" s="70">
        <v>-0.27000000000005903</v>
      </c>
      <c r="D375" s="70">
        <v>1</v>
      </c>
      <c r="E375" s="71">
        <f t="shared" si="40"/>
        <v>-3.6450000000015935E-2</v>
      </c>
      <c r="F375" s="72">
        <f t="shared" si="41"/>
        <v>0.38466266129873666</v>
      </c>
      <c r="G375" s="70">
        <f t="shared" si="37"/>
        <v>1.0000000000000009E-2</v>
      </c>
      <c r="H375" s="60">
        <f t="shared" si="36"/>
        <v>3.8466266129873702E-3</v>
      </c>
      <c r="I375" s="60">
        <f t="shared" si="42"/>
        <v>0.39547329905202655</v>
      </c>
      <c r="J375" s="60">
        <f t="shared" si="38"/>
        <v>0.39358012680193777</v>
      </c>
    </row>
    <row r="376" spans="1:10" x14ac:dyDescent="0.3">
      <c r="A376" s="70">
        <f t="shared" si="39"/>
        <v>-0.26000000000005902</v>
      </c>
      <c r="B376" s="60">
        <v>0</v>
      </c>
      <c r="C376" s="70">
        <v>-0.26000000000005902</v>
      </c>
      <c r="D376" s="70">
        <v>1</v>
      </c>
      <c r="E376" s="71">
        <f t="shared" si="40"/>
        <v>-3.3800000000015346E-2</v>
      </c>
      <c r="F376" s="72">
        <f t="shared" si="41"/>
        <v>0.38568336919181018</v>
      </c>
      <c r="G376" s="70">
        <f t="shared" si="37"/>
        <v>1.0000000000000009E-2</v>
      </c>
      <c r="H376" s="60">
        <f t="shared" si="36"/>
        <v>3.8568336919181053E-3</v>
      </c>
      <c r="I376" s="60">
        <f t="shared" si="42"/>
        <v>0.39933013274394463</v>
      </c>
      <c r="J376" s="60">
        <f t="shared" si="38"/>
        <v>0.39743188679821673</v>
      </c>
    </row>
    <row r="377" spans="1:10" x14ac:dyDescent="0.3">
      <c r="A377" s="70">
        <f t="shared" si="39"/>
        <v>-0.25000000000005901</v>
      </c>
      <c r="B377" s="60">
        <v>0</v>
      </c>
      <c r="C377" s="70">
        <v>-0.25000000000005901</v>
      </c>
      <c r="D377" s="70">
        <v>1</v>
      </c>
      <c r="E377" s="71">
        <f t="shared" si="40"/>
        <v>-3.1250000000014752E-2</v>
      </c>
      <c r="F377" s="72">
        <f t="shared" si="41"/>
        <v>0.38666811680284352</v>
      </c>
      <c r="G377" s="70">
        <f t="shared" si="37"/>
        <v>1.0000000000000009E-2</v>
      </c>
      <c r="H377" s="60">
        <f t="shared" si="36"/>
        <v>3.8666811680284387E-3</v>
      </c>
      <c r="I377" s="60">
        <f t="shared" si="42"/>
        <v>0.4031968139119731</v>
      </c>
      <c r="J377" s="60">
        <f t="shared" si="38"/>
        <v>0.40129367431705343</v>
      </c>
    </row>
    <row r="378" spans="1:10" x14ac:dyDescent="0.3">
      <c r="A378" s="70">
        <f t="shared" si="39"/>
        <v>-0.240000000000059</v>
      </c>
      <c r="B378" s="60">
        <v>0</v>
      </c>
      <c r="C378" s="70">
        <v>-0.240000000000059</v>
      </c>
      <c r="D378" s="70">
        <v>1</v>
      </c>
      <c r="E378" s="71">
        <f t="shared" si="40"/>
        <v>-2.8800000000014161E-2</v>
      </c>
      <c r="F378" s="72">
        <f t="shared" si="41"/>
        <v>0.38761661512500867</v>
      </c>
      <c r="G378" s="70">
        <f t="shared" si="37"/>
        <v>1.0000000000000009E-2</v>
      </c>
      <c r="H378" s="60">
        <f t="shared" si="36"/>
        <v>3.87616615125009E-3</v>
      </c>
      <c r="I378" s="60">
        <f t="shared" si="42"/>
        <v>0.40707298006322318</v>
      </c>
      <c r="J378" s="60">
        <f t="shared" si="38"/>
        <v>0.40516512830218127</v>
      </c>
    </row>
    <row r="379" spans="1:10" x14ac:dyDescent="0.3">
      <c r="A379" s="70">
        <f t="shared" si="39"/>
        <v>-0.23000000000005899</v>
      </c>
      <c r="B379" s="60">
        <v>0</v>
      </c>
      <c r="C379" s="70">
        <v>-0.23000000000005899</v>
      </c>
      <c r="D379" s="70">
        <v>1</v>
      </c>
      <c r="E379" s="71">
        <f t="shared" si="40"/>
        <v>-2.6450000000013567E-2</v>
      </c>
      <c r="F379" s="72">
        <f t="shared" si="41"/>
        <v>0.38852858531583062</v>
      </c>
      <c r="G379" s="70">
        <f t="shared" si="37"/>
        <v>9.9999999999999811E-3</v>
      </c>
      <c r="H379" s="60">
        <f t="shared" si="36"/>
        <v>3.8852858531582988E-3</v>
      </c>
      <c r="I379" s="60">
        <f t="shared" si="42"/>
        <v>0.41095826591638146</v>
      </c>
      <c r="J379" s="60">
        <f t="shared" si="38"/>
        <v>0.40904588485797122</v>
      </c>
    </row>
    <row r="380" spans="1:10" x14ac:dyDescent="0.3">
      <c r="A380" s="70">
        <f t="shared" si="39"/>
        <v>-0.22000000000005901</v>
      </c>
      <c r="B380" s="60">
        <v>0</v>
      </c>
      <c r="C380" s="70">
        <v>-0.22000000000005901</v>
      </c>
      <c r="D380" s="70">
        <v>1</v>
      </c>
      <c r="E380" s="71">
        <f t="shared" si="40"/>
        <v>-2.4200000000012982E-2</v>
      </c>
      <c r="F380" s="72">
        <f t="shared" si="41"/>
        <v>0.38940375883378536</v>
      </c>
      <c r="G380" s="70">
        <f t="shared" si="37"/>
        <v>1.0000000000000009E-2</v>
      </c>
      <c r="H380" s="60">
        <f t="shared" si="36"/>
        <v>3.8940375883378571E-3</v>
      </c>
      <c r="I380" s="60">
        <f t="shared" si="42"/>
        <v>0.4148523035047193</v>
      </c>
      <c r="J380" s="60">
        <f t="shared" si="38"/>
        <v>0.4129355773517624</v>
      </c>
    </row>
    <row r="381" spans="1:10" x14ac:dyDescent="0.3">
      <c r="A381" s="70">
        <f t="shared" si="39"/>
        <v>-0.210000000000059</v>
      </c>
      <c r="B381" s="60">
        <v>0</v>
      </c>
      <c r="C381" s="70">
        <v>-0.210000000000059</v>
      </c>
      <c r="D381" s="70">
        <v>1</v>
      </c>
      <c r="E381" s="71">
        <f t="shared" si="40"/>
        <v>-2.205000000001239E-2</v>
      </c>
      <c r="F381" s="72">
        <f t="shared" si="41"/>
        <v>0.39024187757006945</v>
      </c>
      <c r="G381" s="70">
        <f t="shared" si="37"/>
        <v>1.0000000000000009E-2</v>
      </c>
      <c r="H381" s="60">
        <f t="shared" si="36"/>
        <v>3.9024187757006981E-3</v>
      </c>
      <c r="I381" s="60">
        <f t="shared" si="42"/>
        <v>0.41875472228041999</v>
      </c>
      <c r="J381" s="60">
        <f t="shared" si="38"/>
        <v>0.41683383651753469</v>
      </c>
    </row>
    <row r="382" spans="1:10" x14ac:dyDescent="0.3">
      <c r="A382" s="70">
        <f t="shared" si="39"/>
        <v>-0.20000000000005899</v>
      </c>
      <c r="B382" s="60">
        <v>0</v>
      </c>
      <c r="C382" s="70">
        <v>-0.20000000000005899</v>
      </c>
      <c r="D382" s="70">
        <v>1</v>
      </c>
      <c r="E382" s="71">
        <f t="shared" si="40"/>
        <v>-2.00000000000118E-2</v>
      </c>
      <c r="F382" s="72">
        <f t="shared" si="41"/>
        <v>0.39104269397545127</v>
      </c>
      <c r="G382" s="70">
        <f t="shared" si="37"/>
        <v>9.9999999999999811E-3</v>
      </c>
      <c r="H382" s="60">
        <f t="shared" si="36"/>
        <v>3.9104269397545049E-3</v>
      </c>
      <c r="I382" s="60">
        <f t="shared" si="42"/>
        <v>0.42266514922017451</v>
      </c>
      <c r="J382" s="60">
        <f t="shared" si="38"/>
        <v>0.42074029056087392</v>
      </c>
    </row>
    <row r="383" spans="1:10" x14ac:dyDescent="0.3">
      <c r="A383" s="70">
        <f t="shared" si="39"/>
        <v>-0.19000000000005901</v>
      </c>
      <c r="B383" s="60">
        <v>0</v>
      </c>
      <c r="C383" s="70">
        <v>-0.19000000000005901</v>
      </c>
      <c r="D383" s="70">
        <v>1</v>
      </c>
      <c r="E383" s="71">
        <f t="shared" si="40"/>
        <v>-1.8050000000011213E-2</v>
      </c>
      <c r="F383" s="72">
        <f t="shared" si="41"/>
        <v>0.39180597118211674</v>
      </c>
      <c r="G383" s="70">
        <f t="shared" si="37"/>
        <v>1.0000000000000009E-2</v>
      </c>
      <c r="H383" s="60">
        <f t="shared" si="36"/>
        <v>3.9180597118211712E-3</v>
      </c>
      <c r="I383" s="60">
        <f t="shared" si="42"/>
        <v>0.42658320893199569</v>
      </c>
      <c r="J383" s="60">
        <f t="shared" si="38"/>
        <v>0.42465456526518142</v>
      </c>
    </row>
    <row r="384" spans="1:10" x14ac:dyDescent="0.3">
      <c r="A384" s="70">
        <f t="shared" si="39"/>
        <v>-0.180000000000059</v>
      </c>
      <c r="B384" s="60">
        <v>0</v>
      </c>
      <c r="C384" s="70">
        <v>-0.180000000000059</v>
      </c>
      <c r="D384" s="70">
        <v>1</v>
      </c>
      <c r="E384" s="71">
        <f t="shared" si="40"/>
        <v>-1.6200000000010619E-2</v>
      </c>
      <c r="F384" s="72">
        <f t="shared" si="41"/>
        <v>0.39253148312042474</v>
      </c>
      <c r="G384" s="70">
        <f t="shared" si="37"/>
        <v>1.0000000000000009E-2</v>
      </c>
      <c r="H384" s="60">
        <f t="shared" ref="H384:H447" si="43">F384*G384</f>
        <v>3.9253148312042505E-3</v>
      </c>
      <c r="I384" s="60">
        <f t="shared" si="42"/>
        <v>0.43050852376319992</v>
      </c>
      <c r="J384" s="60">
        <f t="shared" si="38"/>
        <v>0.42857628409907611</v>
      </c>
    </row>
    <row r="385" spans="1:10" x14ac:dyDescent="0.3">
      <c r="A385" s="70">
        <f t="shared" si="39"/>
        <v>-0.17000000000005899</v>
      </c>
      <c r="B385" s="60">
        <v>0</v>
      </c>
      <c r="C385" s="70">
        <v>-0.17000000000005899</v>
      </c>
      <c r="D385" s="70">
        <v>1</v>
      </c>
      <c r="E385" s="71">
        <f t="shared" si="40"/>
        <v>-1.4450000000010029E-2</v>
      </c>
      <c r="F385" s="72">
        <f t="shared" si="41"/>
        <v>0.39321901463049325</v>
      </c>
      <c r="G385" s="70">
        <f t="shared" si="37"/>
        <v>9.9999999999999811E-3</v>
      </c>
      <c r="H385" s="60">
        <f t="shared" si="43"/>
        <v>3.9321901463049251E-3</v>
      </c>
      <c r="I385" s="60">
        <f t="shared" si="42"/>
        <v>0.43444071390950484</v>
      </c>
      <c r="J385" s="60">
        <f t="shared" si="38"/>
        <v>0.4325050683249384</v>
      </c>
    </row>
    <row r="386" spans="1:10" x14ac:dyDescent="0.3">
      <c r="A386" s="70">
        <f t="shared" si="39"/>
        <v>-0.16000000000005901</v>
      </c>
      <c r="B386" s="60">
        <v>0</v>
      </c>
      <c r="C386" s="70">
        <v>-0.16000000000005901</v>
      </c>
      <c r="D386" s="70">
        <v>1</v>
      </c>
      <c r="E386" s="71">
        <f t="shared" si="40"/>
        <v>-1.2800000000009443E-2</v>
      </c>
      <c r="F386" s="72">
        <f t="shared" si="41"/>
        <v>0.39386836156853711</v>
      </c>
      <c r="G386" s="70">
        <f t="shared" ref="G386:G449" si="44">C387-C386</f>
        <v>1.0000000000000009E-2</v>
      </c>
      <c r="H386" s="60">
        <f t="shared" si="43"/>
        <v>3.9386836156853743E-3</v>
      </c>
      <c r="I386" s="60">
        <f t="shared" si="42"/>
        <v>0.43837939752519023</v>
      </c>
      <c r="J386" s="60">
        <f t="shared" ref="J386:J449" si="45">NORMSDIST(C386)</f>
        <v>0.43644053710854391</v>
      </c>
    </row>
    <row r="387" spans="1:10" x14ac:dyDescent="0.3">
      <c r="A387" s="70">
        <f t="shared" ref="A387:A450" si="46">B387+C387</f>
        <v>-0.150000000000059</v>
      </c>
      <c r="B387" s="60">
        <v>0</v>
      </c>
      <c r="C387" s="70">
        <v>-0.150000000000059</v>
      </c>
      <c r="D387" s="70">
        <v>1</v>
      </c>
      <c r="E387" s="71">
        <f t="shared" ref="E387:E450" si="47">-(A387-B387)*(A387-B387)/2</f>
        <v>-1.125000000000885E-2</v>
      </c>
      <c r="F387" s="72">
        <f t="shared" ref="F387:F450" si="48">(1/SQRT(2*PI()))*(EXP(E387))</f>
        <v>0.39447933090788545</v>
      </c>
      <c r="G387" s="70">
        <f t="shared" si="44"/>
        <v>1.0000000000000009E-2</v>
      </c>
      <c r="H387" s="60">
        <f t="shared" si="43"/>
        <v>3.9447933090788583E-3</v>
      </c>
      <c r="I387" s="60">
        <f t="shared" si="42"/>
        <v>0.4423241908342691</v>
      </c>
      <c r="J387" s="60">
        <f t="shared" si="45"/>
        <v>0.44038230762973418</v>
      </c>
    </row>
    <row r="388" spans="1:10" x14ac:dyDescent="0.3">
      <c r="A388" s="70">
        <f t="shared" si="46"/>
        <v>-0.14000000000005899</v>
      </c>
      <c r="B388" s="60">
        <v>0</v>
      </c>
      <c r="C388" s="70">
        <v>-0.14000000000005899</v>
      </c>
      <c r="D388" s="70">
        <v>1</v>
      </c>
      <c r="E388" s="71">
        <f t="shared" si="47"/>
        <v>-9.8000000000082587E-3</v>
      </c>
      <c r="F388" s="72">
        <f t="shared" si="48"/>
        <v>0.39505174083460798</v>
      </c>
      <c r="G388" s="70">
        <f t="shared" si="44"/>
        <v>9.9999999999999811E-3</v>
      </c>
      <c r="H388" s="60">
        <f t="shared" si="43"/>
        <v>3.950517408346072E-3</v>
      </c>
      <c r="I388" s="60">
        <f t="shared" si="42"/>
        <v>0.44627470824261517</v>
      </c>
      <c r="J388" s="60">
        <f t="shared" si="45"/>
        <v>0.44432999519407024</v>
      </c>
    </row>
    <row r="389" spans="1:10" x14ac:dyDescent="0.3">
      <c r="A389" s="70">
        <f t="shared" si="46"/>
        <v>-0.13000000000005901</v>
      </c>
      <c r="B389" s="60">
        <v>0</v>
      </c>
      <c r="C389" s="70">
        <v>-0.13000000000005901</v>
      </c>
      <c r="D389" s="70">
        <v>1</v>
      </c>
      <c r="E389" s="71">
        <f t="shared" si="47"/>
        <v>-8.4500000000076719E-3</v>
      </c>
      <c r="F389" s="72">
        <f t="shared" si="48"/>
        <v>0.39558542083768439</v>
      </c>
      <c r="G389" s="70">
        <f t="shared" si="44"/>
        <v>1.0000000000000009E-2</v>
      </c>
      <c r="H389" s="60">
        <f t="shared" si="43"/>
        <v>3.955854208376847E-3</v>
      </c>
      <c r="I389" s="60">
        <f t="shared" ref="I389:I401" si="49">H389+I388</f>
        <v>0.45023056245099202</v>
      </c>
      <c r="J389" s="60">
        <f t="shared" si="45"/>
        <v>0.44828321334541549</v>
      </c>
    </row>
    <row r="390" spans="1:10" x14ac:dyDescent="0.3">
      <c r="A390" s="70">
        <f t="shared" si="46"/>
        <v>-0.120000000000059</v>
      </c>
      <c r="B390" s="60">
        <v>0</v>
      </c>
      <c r="C390" s="70">
        <v>-0.120000000000059</v>
      </c>
      <c r="D390" s="70">
        <v>1</v>
      </c>
      <c r="E390" s="71">
        <f t="shared" si="47"/>
        <v>-7.2000000000070801E-3</v>
      </c>
      <c r="F390" s="72">
        <f t="shared" si="48"/>
        <v>0.39608021179365327</v>
      </c>
      <c r="G390" s="70">
        <f t="shared" si="44"/>
        <v>1.0000000000000009E-2</v>
      </c>
      <c r="H390" s="60">
        <f t="shared" si="43"/>
        <v>3.9608021179365358E-3</v>
      </c>
      <c r="I390" s="60">
        <f t="shared" si="49"/>
        <v>0.45419136456892856</v>
      </c>
      <c r="J390" s="60">
        <f t="shared" si="45"/>
        <v>0.4522415739793928</v>
      </c>
    </row>
    <row r="391" spans="1:10" x14ac:dyDescent="0.3">
      <c r="A391" s="70">
        <f t="shared" si="46"/>
        <v>-0.110000000000059</v>
      </c>
      <c r="B391" s="60">
        <v>0</v>
      </c>
      <c r="C391" s="70">
        <v>-0.110000000000059</v>
      </c>
      <c r="D391" s="70">
        <v>1</v>
      </c>
      <c r="E391" s="71">
        <f t="shared" si="47"/>
        <v>-6.0500000000064894E-3</v>
      </c>
      <c r="F391" s="72">
        <f t="shared" si="48"/>
        <v>0.3965359660456832</v>
      </c>
      <c r="G391" s="70">
        <f t="shared" si="44"/>
        <v>9.999999999999995E-3</v>
      </c>
      <c r="H391" s="60">
        <f t="shared" si="43"/>
        <v>3.9653596604568297E-3</v>
      </c>
      <c r="I391" s="60">
        <f t="shared" si="49"/>
        <v>0.45815672422938536</v>
      </c>
      <c r="J391" s="60">
        <f t="shared" si="45"/>
        <v>0.4562046874576598</v>
      </c>
    </row>
    <row r="392" spans="1:10" x14ac:dyDescent="0.3">
      <c r="A392" s="70">
        <f t="shared" si="46"/>
        <v>-0.100000000000059</v>
      </c>
      <c r="B392" s="60">
        <v>0</v>
      </c>
      <c r="C392" s="70">
        <v>-0.100000000000059</v>
      </c>
      <c r="D392" s="70">
        <v>1</v>
      </c>
      <c r="E392" s="71">
        <f t="shared" si="47"/>
        <v>-5.0000000000058999E-3</v>
      </c>
      <c r="F392" s="72">
        <f t="shared" si="48"/>
        <v>0.39695254747700942</v>
      </c>
      <c r="G392" s="70">
        <f t="shared" si="44"/>
        <v>9.999999999999995E-3</v>
      </c>
      <c r="H392" s="60">
        <f t="shared" si="43"/>
        <v>3.969525474770092E-3</v>
      </c>
      <c r="I392" s="60">
        <f t="shared" si="49"/>
        <v>0.46212624970415545</v>
      </c>
      <c r="J392" s="60">
        <f t="shared" si="45"/>
        <v>0.46017216272294759</v>
      </c>
    </row>
    <row r="393" spans="1:10" x14ac:dyDescent="0.3">
      <c r="A393" s="70">
        <f t="shared" si="46"/>
        <v>-9.0000000000059005E-2</v>
      </c>
      <c r="B393" s="60">
        <v>0</v>
      </c>
      <c r="C393" s="70">
        <v>-9.0000000000059005E-2</v>
      </c>
      <c r="D393" s="70">
        <v>1</v>
      </c>
      <c r="E393" s="71">
        <f t="shared" si="47"/>
        <v>-4.0500000000053106E-3</v>
      </c>
      <c r="F393" s="72">
        <f t="shared" si="48"/>
        <v>0.39732983157868623</v>
      </c>
      <c r="G393" s="70">
        <f t="shared" si="44"/>
        <v>1.0000000000000009E-2</v>
      </c>
      <c r="H393" s="60">
        <f t="shared" si="43"/>
        <v>3.9732983157868655E-3</v>
      </c>
      <c r="I393" s="60">
        <f t="shared" si="49"/>
        <v>0.4660995480199423</v>
      </c>
      <c r="J393" s="60">
        <f t="shared" si="45"/>
        <v>0.46414360741480443</v>
      </c>
    </row>
    <row r="394" spans="1:10" x14ac:dyDescent="0.3">
      <c r="A394" s="70">
        <f t="shared" si="46"/>
        <v>-8.0000000000058996E-2</v>
      </c>
      <c r="B394" s="60">
        <v>0</v>
      </c>
      <c r="C394" s="70">
        <v>-8.0000000000058996E-2</v>
      </c>
      <c r="D394" s="70">
        <v>1</v>
      </c>
      <c r="E394" s="71">
        <f t="shared" si="47"/>
        <v>-3.2000000000047199E-3</v>
      </c>
      <c r="F394" s="72">
        <f t="shared" si="48"/>
        <v>0.39766770551160702</v>
      </c>
      <c r="G394" s="70">
        <f t="shared" si="44"/>
        <v>9.999999999999995E-3</v>
      </c>
      <c r="H394" s="60">
        <f t="shared" si="43"/>
        <v>3.9766770551160685E-3</v>
      </c>
      <c r="I394" s="60">
        <f t="shared" si="49"/>
        <v>0.47007622507505836</v>
      </c>
      <c r="J394" s="60">
        <f t="shared" si="45"/>
        <v>0.46811862798598913</v>
      </c>
    </row>
    <row r="395" spans="1:10" x14ac:dyDescent="0.3">
      <c r="A395" s="70">
        <f t="shared" si="46"/>
        <v>-7.0000000000059001E-2</v>
      </c>
      <c r="B395" s="60">
        <v>0</v>
      </c>
      <c r="C395" s="70">
        <v>-7.0000000000059001E-2</v>
      </c>
      <c r="D395" s="70">
        <v>1</v>
      </c>
      <c r="E395" s="71">
        <f t="shared" si="47"/>
        <v>-2.4500000000041299E-3</v>
      </c>
      <c r="F395" s="72">
        <f t="shared" si="48"/>
        <v>0.39796606816274938</v>
      </c>
      <c r="G395" s="70">
        <f t="shared" si="44"/>
        <v>1.0000000000000002E-2</v>
      </c>
      <c r="H395" s="60">
        <f t="shared" si="43"/>
        <v>3.9796606816274943E-3</v>
      </c>
      <c r="I395" s="60">
        <f t="shared" si="49"/>
        <v>0.47405588575668584</v>
      </c>
      <c r="J395" s="60">
        <f t="shared" si="45"/>
        <v>0.47209682981945539</v>
      </c>
    </row>
    <row r="396" spans="1:10" x14ac:dyDescent="0.3">
      <c r="A396" s="70">
        <f t="shared" si="46"/>
        <v>-6.0000000000058999E-2</v>
      </c>
      <c r="B396" s="60">
        <v>0</v>
      </c>
      <c r="C396" s="70">
        <v>-6.0000000000058999E-2</v>
      </c>
      <c r="D396" s="70">
        <v>1</v>
      </c>
      <c r="E396" s="71">
        <f t="shared" si="47"/>
        <v>-1.8000000000035399E-3</v>
      </c>
      <c r="F396" s="72">
        <f t="shared" si="48"/>
        <v>0.39822483019560551</v>
      </c>
      <c r="G396" s="70">
        <f t="shared" si="44"/>
        <v>1.0000000000000002E-2</v>
      </c>
      <c r="H396" s="60">
        <f t="shared" si="43"/>
        <v>3.9822483019560555E-3</v>
      </c>
      <c r="I396" s="60">
        <f t="shared" si="49"/>
        <v>0.47803813405864187</v>
      </c>
      <c r="J396" s="60">
        <f t="shared" si="45"/>
        <v>0.47607781734586968</v>
      </c>
    </row>
    <row r="397" spans="1:10" x14ac:dyDescent="0.3">
      <c r="A397" s="70">
        <f t="shared" si="46"/>
        <v>-5.0000000000058997E-2</v>
      </c>
      <c r="B397" s="60">
        <v>0</v>
      </c>
      <c r="C397" s="70">
        <v>-5.0000000000058997E-2</v>
      </c>
      <c r="D397" s="70">
        <v>1</v>
      </c>
      <c r="E397" s="71">
        <f t="shared" si="47"/>
        <v>-1.2500000000029499E-3</v>
      </c>
      <c r="F397" s="72">
        <f t="shared" si="48"/>
        <v>0.39844391409476287</v>
      </c>
      <c r="G397" s="70">
        <f t="shared" si="44"/>
        <v>9.999999999999995E-3</v>
      </c>
      <c r="H397" s="60">
        <f t="shared" si="43"/>
        <v>3.984439140947627E-3</v>
      </c>
      <c r="I397" s="60">
        <f t="shared" si="49"/>
        <v>0.48202257319958952</v>
      </c>
      <c r="J397" s="60">
        <f t="shared" si="45"/>
        <v>0.48006119416160403</v>
      </c>
    </row>
    <row r="398" spans="1:10" x14ac:dyDescent="0.3">
      <c r="A398" s="70">
        <f t="shared" si="46"/>
        <v>-4.0000000000059002E-2</v>
      </c>
      <c r="B398" s="60">
        <v>0</v>
      </c>
      <c r="C398" s="70">
        <v>-4.0000000000059002E-2</v>
      </c>
      <c r="D398" s="70">
        <v>1</v>
      </c>
      <c r="E398" s="71">
        <f t="shared" si="47"/>
        <v>-8.0000000000236013E-4</v>
      </c>
      <c r="F398" s="72">
        <f t="shared" si="48"/>
        <v>0.39862325420460409</v>
      </c>
      <c r="G398" s="70">
        <f t="shared" si="44"/>
        <v>1.0000000000000002E-2</v>
      </c>
      <c r="H398" s="60">
        <f t="shared" si="43"/>
        <v>3.9862325420460419E-3</v>
      </c>
      <c r="I398" s="60">
        <f t="shared" si="49"/>
        <v>0.48600880574163557</v>
      </c>
      <c r="J398" s="60">
        <f t="shared" si="45"/>
        <v>0.48404656314714573</v>
      </c>
    </row>
    <row r="399" spans="1:10" x14ac:dyDescent="0.3">
      <c r="A399" s="70">
        <f t="shared" si="46"/>
        <v>-3.0000000000059E-2</v>
      </c>
      <c r="B399" s="60">
        <v>0</v>
      </c>
      <c r="C399" s="70">
        <v>-3.0000000000059E-2</v>
      </c>
      <c r="D399" s="70">
        <v>1</v>
      </c>
      <c r="E399" s="71">
        <f t="shared" si="47"/>
        <v>-4.5000000000177E-4</v>
      </c>
      <c r="F399" s="72">
        <f t="shared" si="48"/>
        <v>0.39876279676209903</v>
      </c>
      <c r="G399" s="70">
        <f t="shared" si="44"/>
        <v>1.0000000000000002E-2</v>
      </c>
      <c r="H399" s="60">
        <f t="shared" si="43"/>
        <v>3.9876279676209908E-3</v>
      </c>
      <c r="I399" s="60">
        <f t="shared" si="49"/>
        <v>0.48999643370925655</v>
      </c>
      <c r="J399" s="60">
        <f t="shared" si="45"/>
        <v>0.48803352658586385</v>
      </c>
    </row>
    <row r="400" spans="1:10" x14ac:dyDescent="0.3">
      <c r="A400" s="70">
        <f t="shared" si="46"/>
        <v>-2.0000000000058998E-2</v>
      </c>
      <c r="B400" s="60">
        <v>0</v>
      </c>
      <c r="C400" s="70">
        <v>-2.0000000000058998E-2</v>
      </c>
      <c r="D400" s="70">
        <v>1</v>
      </c>
      <c r="E400" s="71">
        <f t="shared" si="47"/>
        <v>-2.0000000000117997E-4</v>
      </c>
      <c r="F400" s="72">
        <f t="shared" si="48"/>
        <v>0.39886249992366563</v>
      </c>
      <c r="G400" s="70">
        <f t="shared" si="44"/>
        <v>9.9999999999999985E-3</v>
      </c>
      <c r="H400" s="60">
        <f t="shared" si="43"/>
        <v>3.9886249992366557E-3</v>
      </c>
      <c r="I400" s="60">
        <f t="shared" si="49"/>
        <v>0.49398505870849319</v>
      </c>
      <c r="J400" s="60">
        <f t="shared" si="45"/>
        <v>0.49202168628307447</v>
      </c>
    </row>
    <row r="401" spans="1:12" x14ac:dyDescent="0.3">
      <c r="A401" s="70">
        <f t="shared" si="46"/>
        <v>-1.0000000000059E-2</v>
      </c>
      <c r="B401" s="60">
        <v>0</v>
      </c>
      <c r="C401" s="70">
        <v>-1.0000000000059E-2</v>
      </c>
      <c r="D401" s="70">
        <v>1</v>
      </c>
      <c r="E401" s="71">
        <f t="shared" si="47"/>
        <v>-5.0000000000589998E-5</v>
      </c>
      <c r="F401" s="72">
        <f t="shared" si="48"/>
        <v>0.39892233378608194</v>
      </c>
      <c r="G401" s="70">
        <f t="shared" si="44"/>
        <v>1.0000000000059E-2</v>
      </c>
      <c r="H401" s="60">
        <f t="shared" si="43"/>
        <v>3.989223337884356E-3</v>
      </c>
      <c r="I401" s="60">
        <f t="shared" si="49"/>
        <v>0.49797428204637756</v>
      </c>
      <c r="J401" s="60">
        <f t="shared" si="45"/>
        <v>0.49601064368534487</v>
      </c>
    </row>
    <row r="402" spans="1:12" s="79" customFormat="1" x14ac:dyDescent="0.3">
      <c r="A402" s="78">
        <f t="shared" si="46"/>
        <v>0</v>
      </c>
      <c r="B402" s="79">
        <v>0</v>
      </c>
      <c r="C402" s="78">
        <v>0</v>
      </c>
      <c r="D402" s="70">
        <v>1</v>
      </c>
      <c r="E402" s="80">
        <f t="shared" si="47"/>
        <v>0</v>
      </c>
      <c r="F402" s="81">
        <f t="shared" si="48"/>
        <v>0.3989422804014327</v>
      </c>
      <c r="G402" s="78">
        <f t="shared" si="44"/>
        <v>0.01</v>
      </c>
      <c r="H402" s="79">
        <f t="shared" si="43"/>
        <v>3.9894228040143268E-3</v>
      </c>
      <c r="I402" s="79">
        <f>H402+I401</f>
        <v>0.50196370485039188</v>
      </c>
      <c r="J402" s="79">
        <f t="shared" si="45"/>
        <v>0.5</v>
      </c>
      <c r="L402" s="82"/>
    </row>
    <row r="403" spans="1:12" x14ac:dyDescent="0.3">
      <c r="A403" s="70">
        <f t="shared" si="46"/>
        <v>0.01</v>
      </c>
      <c r="B403" s="60">
        <v>0</v>
      </c>
      <c r="C403" s="70">
        <v>0.01</v>
      </c>
      <c r="D403" s="70">
        <v>1</v>
      </c>
      <c r="E403" s="71">
        <f t="shared" si="47"/>
        <v>-5.0000000000000002E-5</v>
      </c>
      <c r="F403" s="72">
        <f t="shared" si="48"/>
        <v>0.39892233378608216</v>
      </c>
      <c r="G403" s="70">
        <f t="shared" si="44"/>
        <v>0.01</v>
      </c>
      <c r="H403" s="60">
        <f t="shared" si="43"/>
        <v>3.9892233378608219E-3</v>
      </c>
      <c r="I403" s="60">
        <f t="shared" ref="I403:I466" si="50">H403+I402</f>
        <v>0.50595292818825266</v>
      </c>
      <c r="J403" s="60">
        <f t="shared" si="45"/>
        <v>0.5039893563146316</v>
      </c>
    </row>
    <row r="404" spans="1:12" x14ac:dyDescent="0.3">
      <c r="A404" s="70">
        <f t="shared" si="46"/>
        <v>0.02</v>
      </c>
      <c r="B404" s="60">
        <v>0</v>
      </c>
      <c r="C404" s="70">
        <v>0.02</v>
      </c>
      <c r="D404" s="70">
        <v>1</v>
      </c>
      <c r="E404" s="71">
        <f t="shared" si="47"/>
        <v>-2.0000000000000001E-4</v>
      </c>
      <c r="F404" s="72">
        <f t="shared" si="48"/>
        <v>0.39886249992366613</v>
      </c>
      <c r="G404" s="70">
        <f t="shared" si="44"/>
        <v>9.9999999999999985E-3</v>
      </c>
      <c r="H404" s="60">
        <f t="shared" si="43"/>
        <v>3.9886249992366609E-3</v>
      </c>
      <c r="I404" s="60">
        <f t="shared" si="50"/>
        <v>0.50994155318748935</v>
      </c>
      <c r="J404" s="60">
        <f t="shared" si="45"/>
        <v>0.50797831371690205</v>
      </c>
    </row>
    <row r="405" spans="1:12" x14ac:dyDescent="0.3">
      <c r="A405" s="70">
        <f t="shared" si="46"/>
        <v>0.03</v>
      </c>
      <c r="B405" s="60">
        <v>0</v>
      </c>
      <c r="C405" s="70">
        <v>0.03</v>
      </c>
      <c r="D405" s="70">
        <v>1</v>
      </c>
      <c r="E405" s="71">
        <f t="shared" si="47"/>
        <v>-4.4999999999999999E-4</v>
      </c>
      <c r="F405" s="72">
        <f t="shared" si="48"/>
        <v>0.39876279676209969</v>
      </c>
      <c r="G405" s="70">
        <f t="shared" si="44"/>
        <v>1.0000000000000002E-2</v>
      </c>
      <c r="H405" s="60">
        <f t="shared" si="43"/>
        <v>3.9876279676209977E-3</v>
      </c>
      <c r="I405" s="60">
        <f t="shared" si="50"/>
        <v>0.51392918115511033</v>
      </c>
      <c r="J405" s="60">
        <f t="shared" si="45"/>
        <v>0.51196647341411272</v>
      </c>
    </row>
    <row r="406" spans="1:12" x14ac:dyDescent="0.3">
      <c r="A406" s="70">
        <f t="shared" si="46"/>
        <v>0.04</v>
      </c>
      <c r="B406" s="60">
        <v>0</v>
      </c>
      <c r="C406" s="70">
        <v>0.04</v>
      </c>
      <c r="D406" s="70">
        <v>1</v>
      </c>
      <c r="E406" s="71">
        <f t="shared" si="47"/>
        <v>-8.0000000000000004E-4</v>
      </c>
      <c r="F406" s="72">
        <f t="shared" si="48"/>
        <v>0.39862325420460504</v>
      </c>
      <c r="G406" s="70">
        <f t="shared" si="44"/>
        <v>1.0000000000000002E-2</v>
      </c>
      <c r="H406" s="60">
        <f t="shared" si="43"/>
        <v>3.9862325420460514E-3</v>
      </c>
      <c r="I406" s="60">
        <f t="shared" si="50"/>
        <v>0.51791541369715632</v>
      </c>
      <c r="J406" s="60">
        <f t="shared" si="45"/>
        <v>0.51595343685283068</v>
      </c>
    </row>
    <row r="407" spans="1:12" x14ac:dyDescent="0.3">
      <c r="A407" s="70">
        <f t="shared" si="46"/>
        <v>0.05</v>
      </c>
      <c r="B407" s="60">
        <v>0</v>
      </c>
      <c r="C407" s="70">
        <v>0.05</v>
      </c>
      <c r="D407" s="70">
        <v>1</v>
      </c>
      <c r="E407" s="71">
        <f t="shared" si="47"/>
        <v>-1.2500000000000002E-3</v>
      </c>
      <c r="F407" s="72">
        <f t="shared" si="48"/>
        <v>0.39844391409476404</v>
      </c>
      <c r="G407" s="70">
        <f t="shared" si="44"/>
        <v>9.999999999999995E-3</v>
      </c>
      <c r="H407" s="60">
        <f t="shared" si="43"/>
        <v>3.9844391409476383E-3</v>
      </c>
      <c r="I407" s="60">
        <f t="shared" si="50"/>
        <v>0.52189985283810392</v>
      </c>
      <c r="J407" s="60">
        <f t="shared" si="45"/>
        <v>0.51993880583837249</v>
      </c>
    </row>
    <row r="408" spans="1:12" x14ac:dyDescent="0.3">
      <c r="A408" s="70">
        <f t="shared" si="46"/>
        <v>0.06</v>
      </c>
      <c r="B408" s="60">
        <v>0</v>
      </c>
      <c r="C408" s="70">
        <v>0.06</v>
      </c>
      <c r="D408" s="70">
        <v>1</v>
      </c>
      <c r="E408" s="71">
        <f t="shared" si="47"/>
        <v>-1.8E-3</v>
      </c>
      <c r="F408" s="72">
        <f t="shared" si="48"/>
        <v>0.39822483019560695</v>
      </c>
      <c r="G408" s="70">
        <f t="shared" si="44"/>
        <v>1.0000000000000009E-2</v>
      </c>
      <c r="H408" s="60">
        <f t="shared" si="43"/>
        <v>3.9822483019560729E-3</v>
      </c>
      <c r="I408" s="60">
        <f t="shared" si="50"/>
        <v>0.52588210114005995</v>
      </c>
      <c r="J408" s="60">
        <f t="shared" si="45"/>
        <v>0.52392218265410684</v>
      </c>
    </row>
    <row r="409" spans="1:12" x14ac:dyDescent="0.3">
      <c r="A409" s="70">
        <f t="shared" si="46"/>
        <v>7.0000000000000007E-2</v>
      </c>
      <c r="B409" s="60">
        <v>0</v>
      </c>
      <c r="C409" s="70">
        <v>7.0000000000000007E-2</v>
      </c>
      <c r="D409" s="70">
        <v>1</v>
      </c>
      <c r="E409" s="71">
        <f t="shared" si="47"/>
        <v>-2.4500000000000004E-3</v>
      </c>
      <c r="F409" s="72">
        <f t="shared" si="48"/>
        <v>0.39796606816275104</v>
      </c>
      <c r="G409" s="70">
        <f t="shared" si="44"/>
        <v>9.999999999999995E-3</v>
      </c>
      <c r="H409" s="60">
        <f t="shared" si="43"/>
        <v>3.9796606816275082E-3</v>
      </c>
      <c r="I409" s="60">
        <f t="shared" si="50"/>
        <v>0.52986176182168743</v>
      </c>
      <c r="J409" s="60">
        <f t="shared" si="45"/>
        <v>0.52790317018052113</v>
      </c>
    </row>
    <row r="410" spans="1:12" x14ac:dyDescent="0.3">
      <c r="A410" s="70">
        <f t="shared" si="46"/>
        <v>0.08</v>
      </c>
      <c r="B410" s="60">
        <v>0</v>
      </c>
      <c r="C410" s="70">
        <v>0.08</v>
      </c>
      <c r="D410" s="70">
        <v>1</v>
      </c>
      <c r="E410" s="71">
        <f t="shared" si="47"/>
        <v>-3.2000000000000002E-3</v>
      </c>
      <c r="F410" s="72">
        <f t="shared" si="48"/>
        <v>0.39766770551160885</v>
      </c>
      <c r="G410" s="70">
        <f t="shared" si="44"/>
        <v>9.999999999999995E-3</v>
      </c>
      <c r="H410" s="60">
        <f t="shared" si="43"/>
        <v>3.9766770551160867E-3</v>
      </c>
      <c r="I410" s="60">
        <f t="shared" si="50"/>
        <v>0.53383843887680349</v>
      </c>
      <c r="J410" s="60">
        <f t="shared" si="45"/>
        <v>0.53188137201398744</v>
      </c>
    </row>
    <row r="411" spans="1:12" x14ac:dyDescent="0.3">
      <c r="A411" s="70">
        <f t="shared" si="46"/>
        <v>0.09</v>
      </c>
      <c r="B411" s="60">
        <v>0</v>
      </c>
      <c r="C411" s="70">
        <v>0.09</v>
      </c>
      <c r="D411" s="70">
        <v>1</v>
      </c>
      <c r="E411" s="71">
        <f t="shared" si="47"/>
        <v>-4.0499999999999998E-3</v>
      </c>
      <c r="F411" s="72">
        <f t="shared" si="48"/>
        <v>0.39732983157868834</v>
      </c>
      <c r="G411" s="70">
        <f t="shared" si="44"/>
        <v>1.0000000000000009E-2</v>
      </c>
      <c r="H411" s="60">
        <f t="shared" si="43"/>
        <v>3.9732983157868872E-3</v>
      </c>
      <c r="I411" s="60">
        <f t="shared" si="50"/>
        <v>0.53781173719259034</v>
      </c>
      <c r="J411" s="60">
        <f t="shared" si="45"/>
        <v>0.53585639258517204</v>
      </c>
    </row>
    <row r="412" spans="1:12" x14ac:dyDescent="0.3">
      <c r="A412" s="70">
        <f t="shared" si="46"/>
        <v>0.1</v>
      </c>
      <c r="B412" s="60">
        <v>0</v>
      </c>
      <c r="C412" s="70">
        <v>0.1</v>
      </c>
      <c r="D412" s="70">
        <v>1</v>
      </c>
      <c r="E412" s="71">
        <f t="shared" si="47"/>
        <v>-5.000000000000001E-3</v>
      </c>
      <c r="F412" s="72">
        <f t="shared" si="48"/>
        <v>0.39695254747701181</v>
      </c>
      <c r="G412" s="70">
        <f t="shared" si="44"/>
        <v>9.999999999999995E-3</v>
      </c>
      <c r="H412" s="60">
        <f t="shared" si="43"/>
        <v>3.9695254747701162E-3</v>
      </c>
      <c r="I412" s="60">
        <f t="shared" si="50"/>
        <v>0.54178126266736049</v>
      </c>
      <c r="J412" s="60">
        <f t="shared" si="45"/>
        <v>0.53982783727702899</v>
      </c>
    </row>
    <row r="413" spans="1:12" x14ac:dyDescent="0.3">
      <c r="A413" s="70">
        <f t="shared" si="46"/>
        <v>0.11</v>
      </c>
      <c r="B413" s="60">
        <v>0</v>
      </c>
      <c r="C413" s="70">
        <v>0.11</v>
      </c>
      <c r="D413" s="70">
        <v>1</v>
      </c>
      <c r="E413" s="71">
        <f t="shared" si="47"/>
        <v>-6.0499999999999998E-3</v>
      </c>
      <c r="F413" s="72">
        <f t="shared" si="48"/>
        <v>0.39653596604568575</v>
      </c>
      <c r="G413" s="70">
        <f t="shared" si="44"/>
        <v>9.999999999999995E-3</v>
      </c>
      <c r="H413" s="60">
        <f t="shared" si="43"/>
        <v>3.9653596604568558E-3</v>
      </c>
      <c r="I413" s="60">
        <f t="shared" si="50"/>
        <v>0.54574662232781734</v>
      </c>
      <c r="J413" s="60">
        <f t="shared" si="45"/>
        <v>0.54379531254231672</v>
      </c>
    </row>
    <row r="414" spans="1:12" x14ac:dyDescent="0.3">
      <c r="A414" s="70">
        <f t="shared" si="46"/>
        <v>0.12</v>
      </c>
      <c r="B414" s="60">
        <v>0</v>
      </c>
      <c r="C414" s="70">
        <v>0.12</v>
      </c>
      <c r="D414" s="70">
        <v>1</v>
      </c>
      <c r="E414" s="71">
        <f t="shared" si="47"/>
        <v>-7.1999999999999998E-3</v>
      </c>
      <c r="F414" s="72">
        <f t="shared" si="48"/>
        <v>0.3960802117936561</v>
      </c>
      <c r="G414" s="70">
        <f t="shared" si="44"/>
        <v>1.0000000000000009E-2</v>
      </c>
      <c r="H414" s="60">
        <f t="shared" si="43"/>
        <v>3.9608021179365644E-3</v>
      </c>
      <c r="I414" s="60">
        <f t="shared" si="50"/>
        <v>0.54970742444575393</v>
      </c>
      <c r="J414" s="60">
        <f t="shared" si="45"/>
        <v>0.54775842602058389</v>
      </c>
    </row>
    <row r="415" spans="1:12" x14ac:dyDescent="0.3">
      <c r="A415" s="70">
        <f t="shared" si="46"/>
        <v>0.13</v>
      </c>
      <c r="B415" s="60">
        <v>0</v>
      </c>
      <c r="C415" s="70">
        <v>0.13</v>
      </c>
      <c r="D415" s="70">
        <v>1</v>
      </c>
      <c r="E415" s="71">
        <f t="shared" si="47"/>
        <v>-8.4500000000000009E-3</v>
      </c>
      <c r="F415" s="72">
        <f t="shared" si="48"/>
        <v>0.39558542083768738</v>
      </c>
      <c r="G415" s="70">
        <f t="shared" si="44"/>
        <v>1.0000000000000009E-2</v>
      </c>
      <c r="H415" s="60">
        <f t="shared" si="43"/>
        <v>3.9558542083768774E-3</v>
      </c>
      <c r="I415" s="60">
        <f t="shared" si="50"/>
        <v>0.55366327865413079</v>
      </c>
      <c r="J415" s="60">
        <f t="shared" si="45"/>
        <v>0.55171678665456114</v>
      </c>
    </row>
    <row r="416" spans="1:12" x14ac:dyDescent="0.3">
      <c r="A416" s="70">
        <f t="shared" si="46"/>
        <v>0.14000000000000001</v>
      </c>
      <c r="B416" s="60">
        <v>0</v>
      </c>
      <c r="C416" s="70">
        <v>0.14000000000000001</v>
      </c>
      <c r="D416" s="70">
        <v>1</v>
      </c>
      <c r="E416" s="71">
        <f t="shared" si="47"/>
        <v>-9.8000000000000014E-3</v>
      </c>
      <c r="F416" s="72">
        <f t="shared" si="48"/>
        <v>0.39505174083461125</v>
      </c>
      <c r="G416" s="70">
        <f t="shared" si="44"/>
        <v>9.9999999999999811E-3</v>
      </c>
      <c r="H416" s="60">
        <f t="shared" si="43"/>
        <v>3.9505174083461049E-3</v>
      </c>
      <c r="I416" s="60">
        <f t="shared" si="50"/>
        <v>0.55761379606247685</v>
      </c>
      <c r="J416" s="60">
        <f t="shared" si="45"/>
        <v>0.55567000480590645</v>
      </c>
    </row>
    <row r="417" spans="1:10" x14ac:dyDescent="0.3">
      <c r="A417" s="70">
        <f t="shared" si="46"/>
        <v>0.15</v>
      </c>
      <c r="B417" s="60">
        <v>0</v>
      </c>
      <c r="C417" s="70">
        <v>0.15</v>
      </c>
      <c r="D417" s="70">
        <v>1</v>
      </c>
      <c r="E417" s="71">
        <f t="shared" si="47"/>
        <v>-1.125E-2</v>
      </c>
      <c r="F417" s="72">
        <f t="shared" si="48"/>
        <v>0.39447933090788895</v>
      </c>
      <c r="G417" s="70">
        <f t="shared" si="44"/>
        <v>1.0000000000000009E-2</v>
      </c>
      <c r="H417" s="60">
        <f t="shared" si="43"/>
        <v>3.9447933090788929E-3</v>
      </c>
      <c r="I417" s="60">
        <f t="shared" si="50"/>
        <v>0.56155858937155578</v>
      </c>
      <c r="J417" s="60">
        <f t="shared" si="45"/>
        <v>0.5596176923702425</v>
      </c>
    </row>
    <row r="418" spans="1:10" x14ac:dyDescent="0.3">
      <c r="A418" s="70">
        <f t="shared" si="46"/>
        <v>0.16</v>
      </c>
      <c r="B418" s="60">
        <v>0</v>
      </c>
      <c r="C418" s="70">
        <v>0.16</v>
      </c>
      <c r="D418" s="70">
        <v>1</v>
      </c>
      <c r="E418" s="71">
        <f t="shared" si="47"/>
        <v>-1.2800000000000001E-2</v>
      </c>
      <c r="F418" s="72">
        <f t="shared" si="48"/>
        <v>0.39386836156854083</v>
      </c>
      <c r="G418" s="70">
        <f t="shared" si="44"/>
        <v>1.0000000000000009E-2</v>
      </c>
      <c r="H418" s="60">
        <f t="shared" si="43"/>
        <v>3.9386836156854116E-3</v>
      </c>
      <c r="I418" s="60">
        <f t="shared" si="50"/>
        <v>0.56549727298724117</v>
      </c>
      <c r="J418" s="60">
        <f t="shared" si="45"/>
        <v>0.56355946289143288</v>
      </c>
    </row>
    <row r="419" spans="1:10" x14ac:dyDescent="0.3">
      <c r="A419" s="70">
        <f t="shared" si="46"/>
        <v>0.17</v>
      </c>
      <c r="B419" s="60">
        <v>0</v>
      </c>
      <c r="C419" s="70">
        <v>0.17</v>
      </c>
      <c r="D419" s="70">
        <v>1</v>
      </c>
      <c r="E419" s="71">
        <f t="shared" si="47"/>
        <v>-1.4450000000000003E-2</v>
      </c>
      <c r="F419" s="72">
        <f t="shared" si="48"/>
        <v>0.39321901463049719</v>
      </c>
      <c r="G419" s="70">
        <f t="shared" si="44"/>
        <v>9.9999999999999811E-3</v>
      </c>
      <c r="H419" s="60">
        <f t="shared" si="43"/>
        <v>3.9321901463049641E-3</v>
      </c>
      <c r="I419" s="60">
        <f t="shared" si="50"/>
        <v>0.56942946313354614</v>
      </c>
      <c r="J419" s="60">
        <f t="shared" si="45"/>
        <v>0.56749493167503839</v>
      </c>
    </row>
    <row r="420" spans="1:10" x14ac:dyDescent="0.3">
      <c r="A420" s="70">
        <f t="shared" si="46"/>
        <v>0.18</v>
      </c>
      <c r="B420" s="60">
        <v>0</v>
      </c>
      <c r="C420" s="70">
        <v>0.18</v>
      </c>
      <c r="D420" s="70">
        <v>1</v>
      </c>
      <c r="E420" s="71">
        <f t="shared" si="47"/>
        <v>-1.6199999999999999E-2</v>
      </c>
      <c r="F420" s="72">
        <f t="shared" si="48"/>
        <v>0.3925314831204289</v>
      </c>
      <c r="G420" s="70">
        <f t="shared" si="44"/>
        <v>1.0000000000000009E-2</v>
      </c>
      <c r="H420" s="60">
        <f t="shared" si="43"/>
        <v>3.9253148312042921E-3</v>
      </c>
      <c r="I420" s="60">
        <f t="shared" si="50"/>
        <v>0.57335477796475043</v>
      </c>
      <c r="J420" s="60">
        <f t="shared" si="45"/>
        <v>0.5714237159009008</v>
      </c>
    </row>
    <row r="421" spans="1:10" x14ac:dyDescent="0.3">
      <c r="A421" s="70">
        <f t="shared" si="46"/>
        <v>0.19</v>
      </c>
      <c r="B421" s="60">
        <v>0</v>
      </c>
      <c r="C421" s="70">
        <v>0.19</v>
      </c>
      <c r="D421" s="70">
        <v>1</v>
      </c>
      <c r="E421" s="71">
        <f t="shared" si="47"/>
        <v>-1.805E-2</v>
      </c>
      <c r="F421" s="72">
        <f t="shared" si="48"/>
        <v>0.39180597118212113</v>
      </c>
      <c r="G421" s="70">
        <f t="shared" si="44"/>
        <v>1.0000000000000009E-2</v>
      </c>
      <c r="H421" s="60">
        <f t="shared" si="43"/>
        <v>3.9180597118212146E-3</v>
      </c>
      <c r="I421" s="60">
        <f t="shared" si="50"/>
        <v>0.57727283767657167</v>
      </c>
      <c r="J421" s="60">
        <f t="shared" si="45"/>
        <v>0.57534543473479549</v>
      </c>
    </row>
    <row r="422" spans="1:10" x14ac:dyDescent="0.3">
      <c r="A422" s="70">
        <f t="shared" si="46"/>
        <v>0.2</v>
      </c>
      <c r="B422" s="60">
        <v>0</v>
      </c>
      <c r="C422" s="70">
        <v>0.2</v>
      </c>
      <c r="D422" s="70">
        <v>1</v>
      </c>
      <c r="E422" s="71">
        <f t="shared" si="47"/>
        <v>-2.0000000000000004E-2</v>
      </c>
      <c r="F422" s="72">
        <f t="shared" si="48"/>
        <v>0.39104269397545588</v>
      </c>
      <c r="G422" s="70">
        <f t="shared" si="44"/>
        <v>9.9999999999999811E-3</v>
      </c>
      <c r="H422" s="60">
        <f t="shared" si="43"/>
        <v>3.9104269397545518E-3</v>
      </c>
      <c r="I422" s="60">
        <f t="shared" si="50"/>
        <v>0.58118326461632619</v>
      </c>
      <c r="J422" s="60">
        <f t="shared" si="45"/>
        <v>0.57925970943910299</v>
      </c>
    </row>
    <row r="423" spans="1:10" x14ac:dyDescent="0.3">
      <c r="A423" s="70">
        <f t="shared" si="46"/>
        <v>0.21</v>
      </c>
      <c r="B423" s="60">
        <v>0</v>
      </c>
      <c r="C423" s="70">
        <v>0.21</v>
      </c>
      <c r="D423" s="70">
        <v>1</v>
      </c>
      <c r="E423" s="71">
        <f t="shared" si="47"/>
        <v>-2.2049999999999997E-2</v>
      </c>
      <c r="F423" s="72">
        <f t="shared" si="48"/>
        <v>0.39024187757007428</v>
      </c>
      <c r="G423" s="70">
        <f t="shared" si="44"/>
        <v>1.0000000000000009E-2</v>
      </c>
      <c r="H423" s="60">
        <f t="shared" si="43"/>
        <v>3.9024187757007462E-3</v>
      </c>
      <c r="I423" s="60">
        <f t="shared" si="50"/>
        <v>0.58508568339202693</v>
      </c>
      <c r="J423" s="60">
        <f t="shared" si="45"/>
        <v>0.58316616348244232</v>
      </c>
    </row>
    <row r="424" spans="1:10" x14ac:dyDescent="0.3">
      <c r="A424" s="70">
        <f t="shared" si="46"/>
        <v>0.22</v>
      </c>
      <c r="B424" s="60">
        <v>0</v>
      </c>
      <c r="C424" s="70">
        <v>0.22</v>
      </c>
      <c r="D424" s="70">
        <v>1</v>
      </c>
      <c r="E424" s="71">
        <f t="shared" si="47"/>
        <v>-2.4199999999999999E-2</v>
      </c>
      <c r="F424" s="72">
        <f t="shared" si="48"/>
        <v>0.38940375883379041</v>
      </c>
      <c r="G424" s="70">
        <f t="shared" si="44"/>
        <v>1.0000000000000009E-2</v>
      </c>
      <c r="H424" s="60">
        <f t="shared" si="43"/>
        <v>3.8940375883379074E-3</v>
      </c>
      <c r="I424" s="60">
        <f t="shared" si="50"/>
        <v>0.58897972098036488</v>
      </c>
      <c r="J424" s="60">
        <f t="shared" si="45"/>
        <v>0.58706442264821468</v>
      </c>
    </row>
    <row r="425" spans="1:10" x14ac:dyDescent="0.3">
      <c r="A425" s="70">
        <f t="shared" si="46"/>
        <v>0.23</v>
      </c>
      <c r="B425" s="60">
        <v>0</v>
      </c>
      <c r="C425" s="70">
        <v>0.23</v>
      </c>
      <c r="D425" s="70">
        <v>1</v>
      </c>
      <c r="E425" s="71">
        <f t="shared" si="47"/>
        <v>-2.6450000000000001E-2</v>
      </c>
      <c r="F425" s="72">
        <f t="shared" si="48"/>
        <v>0.38852858531583589</v>
      </c>
      <c r="G425" s="70">
        <f t="shared" si="44"/>
        <v>9.9999999999999811E-3</v>
      </c>
      <c r="H425" s="60">
        <f t="shared" si="43"/>
        <v>3.8852858531583517E-3</v>
      </c>
      <c r="I425" s="60">
        <f t="shared" si="50"/>
        <v>0.59286500683352328</v>
      </c>
      <c r="J425" s="60">
        <f t="shared" si="45"/>
        <v>0.59095411514200591</v>
      </c>
    </row>
    <row r="426" spans="1:10" x14ac:dyDescent="0.3">
      <c r="A426" s="70">
        <f t="shared" si="46"/>
        <v>0.24</v>
      </c>
      <c r="B426" s="60">
        <v>0</v>
      </c>
      <c r="C426" s="70">
        <v>0.24</v>
      </c>
      <c r="D426" s="70">
        <v>1</v>
      </c>
      <c r="E426" s="71">
        <f t="shared" si="47"/>
        <v>-2.8799999999999999E-2</v>
      </c>
      <c r="F426" s="72">
        <f t="shared" si="48"/>
        <v>0.38761661512501416</v>
      </c>
      <c r="G426" s="70">
        <f t="shared" si="44"/>
        <v>1.0000000000000009E-2</v>
      </c>
      <c r="H426" s="60">
        <f t="shared" si="43"/>
        <v>3.8761661512501451E-3</v>
      </c>
      <c r="I426" s="60">
        <f t="shared" si="50"/>
        <v>0.59674117298477347</v>
      </c>
      <c r="J426" s="60">
        <f t="shared" si="45"/>
        <v>0.59483487169779581</v>
      </c>
    </row>
    <row r="427" spans="1:10" x14ac:dyDescent="0.3">
      <c r="A427" s="70">
        <f t="shared" si="46"/>
        <v>0.25</v>
      </c>
      <c r="B427" s="60">
        <v>0</v>
      </c>
      <c r="C427" s="70">
        <v>0.25</v>
      </c>
      <c r="D427" s="70">
        <v>1</v>
      </c>
      <c r="E427" s="71">
        <f t="shared" si="47"/>
        <v>-3.125E-2</v>
      </c>
      <c r="F427" s="72">
        <f t="shared" si="48"/>
        <v>0.38666811680284924</v>
      </c>
      <c r="G427" s="70">
        <f t="shared" si="44"/>
        <v>1.0000000000000009E-2</v>
      </c>
      <c r="H427" s="60">
        <f t="shared" si="43"/>
        <v>3.8666811680284959E-3</v>
      </c>
      <c r="I427" s="60">
        <f t="shared" si="50"/>
        <v>0.60060785415280193</v>
      </c>
      <c r="J427" s="60">
        <f t="shared" si="45"/>
        <v>0.5987063256829237</v>
      </c>
    </row>
    <row r="428" spans="1:10" x14ac:dyDescent="0.3">
      <c r="A428" s="70">
        <f t="shared" si="46"/>
        <v>0.26</v>
      </c>
      <c r="B428" s="60">
        <v>0</v>
      </c>
      <c r="C428" s="70">
        <v>0.26</v>
      </c>
      <c r="D428" s="70">
        <v>1</v>
      </c>
      <c r="E428" s="71">
        <f t="shared" si="47"/>
        <v>-3.3800000000000004E-2</v>
      </c>
      <c r="F428" s="72">
        <f t="shared" si="48"/>
        <v>0.38568336919181612</v>
      </c>
      <c r="G428" s="70">
        <f t="shared" si="44"/>
        <v>1.0000000000000009E-2</v>
      </c>
      <c r="H428" s="60">
        <f t="shared" si="43"/>
        <v>3.8568336919181647E-3</v>
      </c>
      <c r="I428" s="60">
        <f t="shared" si="50"/>
        <v>0.60446468784472007</v>
      </c>
      <c r="J428" s="60">
        <f t="shared" si="45"/>
        <v>0.60256811320176051</v>
      </c>
    </row>
    <row r="429" spans="1:10" x14ac:dyDescent="0.3">
      <c r="A429" s="70">
        <f t="shared" si="46"/>
        <v>0.27</v>
      </c>
      <c r="B429" s="60">
        <v>0</v>
      </c>
      <c r="C429" s="70">
        <v>0.27</v>
      </c>
      <c r="D429" s="70">
        <v>1</v>
      </c>
      <c r="E429" s="71">
        <f t="shared" si="47"/>
        <v>-3.6450000000000003E-2</v>
      </c>
      <c r="F429" s="72">
        <f t="shared" si="48"/>
        <v>0.38466266129874283</v>
      </c>
      <c r="G429" s="70">
        <f t="shared" si="44"/>
        <v>1.0000000000000009E-2</v>
      </c>
      <c r="H429" s="60">
        <f t="shared" si="43"/>
        <v>3.8466266129874318E-3</v>
      </c>
      <c r="I429" s="60">
        <f t="shared" si="50"/>
        <v>0.60831131445770747</v>
      </c>
      <c r="J429" s="60">
        <f t="shared" si="45"/>
        <v>0.60641987319803947</v>
      </c>
    </row>
    <row r="430" spans="1:10" x14ac:dyDescent="0.3">
      <c r="A430" s="70">
        <f t="shared" si="46"/>
        <v>0.28000000000000003</v>
      </c>
      <c r="B430" s="60">
        <v>0</v>
      </c>
      <c r="C430" s="70">
        <v>0.28000000000000003</v>
      </c>
      <c r="D430" s="70">
        <v>1</v>
      </c>
      <c r="E430" s="71">
        <f t="shared" si="47"/>
        <v>-3.9200000000000006E-2</v>
      </c>
      <c r="F430" s="72">
        <f t="shared" si="48"/>
        <v>0.38360629215347858</v>
      </c>
      <c r="G430" s="70">
        <f t="shared" si="44"/>
        <v>9.9999999999999534E-3</v>
      </c>
      <c r="H430" s="60">
        <f t="shared" si="43"/>
        <v>3.8360629215347681E-3</v>
      </c>
      <c r="I430" s="60">
        <f t="shared" si="50"/>
        <v>0.6121473773792423</v>
      </c>
      <c r="J430" s="60">
        <f t="shared" si="45"/>
        <v>0.61026124755579725</v>
      </c>
    </row>
    <row r="431" spans="1:10" x14ac:dyDescent="0.3">
      <c r="A431" s="70">
        <f t="shared" si="46"/>
        <v>0.28999999999999998</v>
      </c>
      <c r="B431" s="60">
        <v>0</v>
      </c>
      <c r="C431" s="70">
        <v>0.28999999999999998</v>
      </c>
      <c r="D431" s="70">
        <v>1</v>
      </c>
      <c r="E431" s="71">
        <f t="shared" si="47"/>
        <v>-4.2049999999999997E-2</v>
      </c>
      <c r="F431" s="72">
        <f t="shared" si="48"/>
        <v>0.38251457066292405</v>
      </c>
      <c r="G431" s="70">
        <f t="shared" si="44"/>
        <v>1.0000000000000009E-2</v>
      </c>
      <c r="H431" s="60">
        <f t="shared" si="43"/>
        <v>3.8251457066292437E-3</v>
      </c>
      <c r="I431" s="60">
        <f t="shared" si="50"/>
        <v>0.61597252308587158</v>
      </c>
      <c r="J431" s="60">
        <f t="shared" si="45"/>
        <v>0.61409188119887737</v>
      </c>
    </row>
    <row r="432" spans="1:10" x14ac:dyDescent="0.3">
      <c r="A432" s="70">
        <f t="shared" si="46"/>
        <v>0.3</v>
      </c>
      <c r="B432" s="60">
        <v>0</v>
      </c>
      <c r="C432" s="70">
        <v>0.3</v>
      </c>
      <c r="D432" s="70">
        <v>1</v>
      </c>
      <c r="E432" s="71">
        <f t="shared" si="47"/>
        <v>-4.4999999999999998E-2</v>
      </c>
      <c r="F432" s="72">
        <f t="shared" si="48"/>
        <v>0.38138781546052414</v>
      </c>
      <c r="G432" s="70">
        <f t="shared" si="44"/>
        <v>1.0000000000000009E-2</v>
      </c>
      <c r="H432" s="60">
        <f t="shared" si="43"/>
        <v>3.8138781546052446E-3</v>
      </c>
      <c r="I432" s="60">
        <f t="shared" si="50"/>
        <v>0.61978640124047679</v>
      </c>
      <c r="J432" s="60">
        <f t="shared" si="45"/>
        <v>0.61791142218895267</v>
      </c>
    </row>
    <row r="433" spans="1:10" x14ac:dyDescent="0.3">
      <c r="A433" s="70">
        <f t="shared" si="46"/>
        <v>0.31</v>
      </c>
      <c r="B433" s="60">
        <v>0</v>
      </c>
      <c r="C433" s="70">
        <v>0.31</v>
      </c>
      <c r="D433" s="70">
        <v>1</v>
      </c>
      <c r="E433" s="71">
        <f t="shared" si="47"/>
        <v>-4.8050000000000002E-2</v>
      </c>
      <c r="F433" s="72">
        <f t="shared" si="48"/>
        <v>0.38022635475132494</v>
      </c>
      <c r="G433" s="70">
        <f t="shared" si="44"/>
        <v>1.0000000000000009E-2</v>
      </c>
      <c r="H433" s="60">
        <f t="shared" si="43"/>
        <v>3.8022635475132528E-3</v>
      </c>
      <c r="I433" s="60">
        <f t="shared" si="50"/>
        <v>0.62358866478799002</v>
      </c>
      <c r="J433" s="60">
        <f t="shared" si="45"/>
        <v>0.62171952182201928</v>
      </c>
    </row>
    <row r="434" spans="1:10" x14ac:dyDescent="0.3">
      <c r="A434" s="70">
        <f t="shared" si="46"/>
        <v>0.32</v>
      </c>
      <c r="B434" s="60">
        <v>0</v>
      </c>
      <c r="C434" s="70">
        <v>0.32</v>
      </c>
      <c r="D434" s="70">
        <v>1</v>
      </c>
      <c r="E434" s="71">
        <f t="shared" si="47"/>
        <v>-5.1200000000000002E-2</v>
      </c>
      <c r="F434" s="72">
        <f t="shared" si="48"/>
        <v>0.37903052615270166</v>
      </c>
      <c r="G434" s="70">
        <f t="shared" si="44"/>
        <v>1.0000000000000009E-2</v>
      </c>
      <c r="H434" s="60">
        <f t="shared" si="43"/>
        <v>3.79030526152702E-3</v>
      </c>
      <c r="I434" s="60">
        <f t="shared" si="50"/>
        <v>0.62737897004951704</v>
      </c>
      <c r="J434" s="60">
        <f t="shared" si="45"/>
        <v>0.62551583472332006</v>
      </c>
    </row>
    <row r="435" spans="1:10" x14ac:dyDescent="0.3">
      <c r="A435" s="70">
        <f t="shared" si="46"/>
        <v>0.33</v>
      </c>
      <c r="B435" s="60">
        <v>0</v>
      </c>
      <c r="C435" s="70">
        <v>0.33</v>
      </c>
      <c r="D435" s="70">
        <v>1</v>
      </c>
      <c r="E435" s="71">
        <f t="shared" si="47"/>
        <v>-5.4450000000000005E-2</v>
      </c>
      <c r="F435" s="72">
        <f t="shared" si="48"/>
        <v>0.37780067653086458</v>
      </c>
      <c r="G435" s="70">
        <f t="shared" si="44"/>
        <v>1.0000000000000009E-2</v>
      </c>
      <c r="H435" s="60">
        <f t="shared" si="43"/>
        <v>3.7780067653086489E-3</v>
      </c>
      <c r="I435" s="60">
        <f t="shared" si="50"/>
        <v>0.63115697681482563</v>
      </c>
      <c r="J435" s="60">
        <f t="shared" si="45"/>
        <v>0.62930001894065357</v>
      </c>
    </row>
    <row r="436" spans="1:10" x14ac:dyDescent="0.3">
      <c r="A436" s="70">
        <f t="shared" si="46"/>
        <v>0.34</v>
      </c>
      <c r="B436" s="60">
        <v>0</v>
      </c>
      <c r="C436" s="70">
        <v>0.34</v>
      </c>
      <c r="D436" s="70">
        <v>1</v>
      </c>
      <c r="E436" s="71">
        <f t="shared" si="47"/>
        <v>-5.7800000000000011E-2</v>
      </c>
      <c r="F436" s="72">
        <f t="shared" si="48"/>
        <v>0.37653716183325392</v>
      </c>
      <c r="G436" s="70">
        <f t="shared" si="44"/>
        <v>9.9999999999999534E-3</v>
      </c>
      <c r="H436" s="60">
        <f t="shared" si="43"/>
        <v>3.7653716183325215E-3</v>
      </c>
      <c r="I436" s="60">
        <f t="shared" si="50"/>
        <v>0.6349223484331582</v>
      </c>
      <c r="J436" s="60">
        <f t="shared" si="45"/>
        <v>0.63307173603602807</v>
      </c>
    </row>
    <row r="437" spans="1:10" x14ac:dyDescent="0.3">
      <c r="A437" s="70">
        <f t="shared" si="46"/>
        <v>0.35</v>
      </c>
      <c r="B437" s="60">
        <v>0</v>
      </c>
      <c r="C437" s="70">
        <v>0.35</v>
      </c>
      <c r="D437" s="70">
        <v>1</v>
      </c>
      <c r="E437" s="71">
        <f t="shared" si="47"/>
        <v>-6.1249999999999992E-2</v>
      </c>
      <c r="F437" s="72">
        <f t="shared" si="48"/>
        <v>0.37524034691693792</v>
      </c>
      <c r="G437" s="70">
        <f t="shared" si="44"/>
        <v>1.0000000000000009E-2</v>
      </c>
      <c r="H437" s="60">
        <f t="shared" si="43"/>
        <v>3.7524034691693827E-3</v>
      </c>
      <c r="I437" s="60">
        <f t="shared" si="50"/>
        <v>0.63867475190232759</v>
      </c>
      <c r="J437" s="60">
        <f t="shared" si="45"/>
        <v>0.6368306511756191</v>
      </c>
    </row>
    <row r="438" spans="1:10" x14ac:dyDescent="0.3">
      <c r="A438" s="70">
        <f t="shared" si="46"/>
        <v>0.36</v>
      </c>
      <c r="B438" s="60">
        <v>0</v>
      </c>
      <c r="C438" s="70">
        <v>0.36</v>
      </c>
      <c r="D438" s="70">
        <v>1</v>
      </c>
      <c r="E438" s="71">
        <f t="shared" si="47"/>
        <v>-6.4799999999999996E-2</v>
      </c>
      <c r="F438" s="72">
        <f t="shared" si="48"/>
        <v>0.37391060537312842</v>
      </c>
      <c r="G438" s="70">
        <f t="shared" si="44"/>
        <v>1.0000000000000009E-2</v>
      </c>
      <c r="H438" s="60">
        <f t="shared" si="43"/>
        <v>3.7391060537312875E-3</v>
      </c>
      <c r="I438" s="60">
        <f t="shared" si="50"/>
        <v>0.64241385795605888</v>
      </c>
      <c r="J438" s="60">
        <f t="shared" si="45"/>
        <v>0.64057643321799129</v>
      </c>
    </row>
    <row r="439" spans="1:10" x14ac:dyDescent="0.3">
      <c r="A439" s="70">
        <f t="shared" si="46"/>
        <v>0.37</v>
      </c>
      <c r="B439" s="60">
        <v>0</v>
      </c>
      <c r="C439" s="70">
        <v>0.37</v>
      </c>
      <c r="D439" s="70">
        <v>1</v>
      </c>
      <c r="E439" s="71">
        <f t="shared" si="47"/>
        <v>-6.8449999999999997E-2</v>
      </c>
      <c r="F439" s="72">
        <f t="shared" si="48"/>
        <v>0.37254831934793342</v>
      </c>
      <c r="G439" s="70">
        <f t="shared" si="44"/>
        <v>1.0000000000000009E-2</v>
      </c>
      <c r="H439" s="60">
        <f t="shared" si="43"/>
        <v>3.7254831934793375E-3</v>
      </c>
      <c r="I439" s="60">
        <f t="shared" si="50"/>
        <v>0.64613934114953819</v>
      </c>
      <c r="J439" s="60">
        <f t="shared" si="45"/>
        <v>0.64430875480054683</v>
      </c>
    </row>
    <row r="440" spans="1:10" x14ac:dyDescent="0.3">
      <c r="A440" s="70">
        <f t="shared" si="46"/>
        <v>0.38</v>
      </c>
      <c r="B440" s="60">
        <v>0</v>
      </c>
      <c r="C440" s="70">
        <v>0.38</v>
      </c>
      <c r="D440" s="70">
        <v>1</v>
      </c>
      <c r="E440" s="71">
        <f t="shared" si="47"/>
        <v>-7.22E-2</v>
      </c>
      <c r="F440" s="72">
        <f t="shared" si="48"/>
        <v>0.37115387935946603</v>
      </c>
      <c r="G440" s="70">
        <f t="shared" si="44"/>
        <v>1.0000000000000009E-2</v>
      </c>
      <c r="H440" s="60">
        <f t="shared" si="43"/>
        <v>3.7115387935946634E-3</v>
      </c>
      <c r="I440" s="60">
        <f t="shared" si="50"/>
        <v>0.64985087994313284</v>
      </c>
      <c r="J440" s="60">
        <f t="shared" si="45"/>
        <v>0.64802729242416279</v>
      </c>
    </row>
    <row r="441" spans="1:10" x14ac:dyDescent="0.3">
      <c r="A441" s="70">
        <f t="shared" si="46"/>
        <v>0.39</v>
      </c>
      <c r="B441" s="60">
        <v>0</v>
      </c>
      <c r="C441" s="70">
        <v>0.39</v>
      </c>
      <c r="D441" s="70">
        <v>1</v>
      </c>
      <c r="E441" s="71">
        <f t="shared" si="47"/>
        <v>-7.6050000000000006E-2</v>
      </c>
      <c r="F441" s="72">
        <f t="shared" si="48"/>
        <v>0.36972768411143236</v>
      </c>
      <c r="G441" s="70">
        <f t="shared" si="44"/>
        <v>1.0000000000000009E-2</v>
      </c>
      <c r="H441" s="60">
        <f t="shared" si="43"/>
        <v>3.6972768411143268E-3</v>
      </c>
      <c r="I441" s="60">
        <f t="shared" si="50"/>
        <v>0.65354815678424716</v>
      </c>
      <c r="J441" s="60">
        <f t="shared" si="45"/>
        <v>0.65173172653598244</v>
      </c>
    </row>
    <row r="442" spans="1:10" x14ac:dyDescent="0.3">
      <c r="A442" s="70">
        <f t="shared" si="46"/>
        <v>0.4</v>
      </c>
      <c r="B442" s="60">
        <v>0</v>
      </c>
      <c r="C442" s="70">
        <v>0.4</v>
      </c>
      <c r="D442" s="70">
        <v>1</v>
      </c>
      <c r="E442" s="71">
        <f t="shared" si="47"/>
        <v>-8.0000000000000016E-2</v>
      </c>
      <c r="F442" s="72">
        <f t="shared" si="48"/>
        <v>0.36827014030332333</v>
      </c>
      <c r="G442" s="70">
        <f t="shared" si="44"/>
        <v>9.9999999999999534E-3</v>
      </c>
      <c r="H442" s="60">
        <f t="shared" si="43"/>
        <v>3.6827014030332162E-3</v>
      </c>
      <c r="I442" s="60">
        <f t="shared" si="50"/>
        <v>0.65723085818728033</v>
      </c>
      <c r="J442" s="60">
        <f t="shared" si="45"/>
        <v>0.65542174161032429</v>
      </c>
    </row>
    <row r="443" spans="1:10" x14ac:dyDescent="0.3">
      <c r="A443" s="70">
        <f t="shared" si="46"/>
        <v>0.41</v>
      </c>
      <c r="B443" s="60">
        <v>0</v>
      </c>
      <c r="C443" s="70">
        <v>0.41</v>
      </c>
      <c r="D443" s="70">
        <v>1</v>
      </c>
      <c r="E443" s="71">
        <f t="shared" si="47"/>
        <v>-8.4049999999999986E-2</v>
      </c>
      <c r="F443" s="72">
        <f t="shared" si="48"/>
        <v>0.36678166243733612</v>
      </c>
      <c r="G443" s="70">
        <f t="shared" si="44"/>
        <v>1.0000000000000009E-2</v>
      </c>
      <c r="H443" s="60">
        <f t="shared" si="43"/>
        <v>3.6678166243733646E-3</v>
      </c>
      <c r="I443" s="60">
        <f t="shared" si="50"/>
        <v>0.66089867481165365</v>
      </c>
      <c r="J443" s="60">
        <f t="shared" si="45"/>
        <v>0.65909702622767741</v>
      </c>
    </row>
    <row r="444" spans="1:10" x14ac:dyDescent="0.3">
      <c r="A444" s="70">
        <f t="shared" si="46"/>
        <v>0.42</v>
      </c>
      <c r="B444" s="60">
        <v>0</v>
      </c>
      <c r="C444" s="70">
        <v>0.42</v>
      </c>
      <c r="D444" s="70">
        <v>1</v>
      </c>
      <c r="E444" s="71">
        <f t="shared" si="47"/>
        <v>-8.8199999999999987E-2</v>
      </c>
      <c r="F444" s="72">
        <f t="shared" si="48"/>
        <v>0.36526267262215389</v>
      </c>
      <c r="G444" s="70">
        <f t="shared" si="44"/>
        <v>1.0000000000000009E-2</v>
      </c>
      <c r="H444" s="60">
        <f t="shared" si="43"/>
        <v>3.6526267262215421E-3</v>
      </c>
      <c r="I444" s="60">
        <f t="shared" si="50"/>
        <v>0.66455130153787523</v>
      </c>
      <c r="J444" s="60">
        <f t="shared" si="45"/>
        <v>0.66275727315175048</v>
      </c>
    </row>
    <row r="445" spans="1:10" x14ac:dyDescent="0.3">
      <c r="A445" s="70">
        <f t="shared" si="46"/>
        <v>0.43</v>
      </c>
      <c r="B445" s="60">
        <v>0</v>
      </c>
      <c r="C445" s="70">
        <v>0.43</v>
      </c>
      <c r="D445" s="70">
        <v>1</v>
      </c>
      <c r="E445" s="71">
        <f t="shared" si="47"/>
        <v>-9.2449999999999991E-2</v>
      </c>
      <c r="F445" s="72">
        <f t="shared" si="48"/>
        <v>0.36371360037371342</v>
      </c>
      <c r="G445" s="70">
        <f t="shared" si="44"/>
        <v>1.0000000000000009E-2</v>
      </c>
      <c r="H445" s="60">
        <f t="shared" si="43"/>
        <v>3.6371360037371374E-3</v>
      </c>
      <c r="I445" s="60">
        <f t="shared" si="50"/>
        <v>0.66818843754161239</v>
      </c>
      <c r="J445" s="60">
        <f t="shared" si="45"/>
        <v>0.66640217940454238</v>
      </c>
    </row>
    <row r="446" spans="1:10" x14ac:dyDescent="0.3">
      <c r="A446" s="70">
        <f t="shared" si="46"/>
        <v>0.44</v>
      </c>
      <c r="B446" s="60">
        <v>0</v>
      </c>
      <c r="C446" s="70">
        <v>0.44</v>
      </c>
      <c r="D446" s="70">
        <v>1</v>
      </c>
      <c r="E446" s="71">
        <f t="shared" si="47"/>
        <v>-9.6799999999999997E-2</v>
      </c>
      <c r="F446" s="72">
        <f t="shared" si="48"/>
        <v>0.36213488241309222</v>
      </c>
      <c r="G446" s="70">
        <f t="shared" si="44"/>
        <v>1.0000000000000009E-2</v>
      </c>
      <c r="H446" s="60">
        <f t="shared" si="43"/>
        <v>3.6213488241309253E-3</v>
      </c>
      <c r="I446" s="60">
        <f t="shared" si="50"/>
        <v>0.67180978636574329</v>
      </c>
      <c r="J446" s="60">
        <f t="shared" si="45"/>
        <v>0.67003144633940637</v>
      </c>
    </row>
    <row r="447" spans="1:10" x14ac:dyDescent="0.3">
      <c r="A447" s="70">
        <f t="shared" si="46"/>
        <v>0.45</v>
      </c>
      <c r="B447" s="60">
        <v>0</v>
      </c>
      <c r="C447" s="70">
        <v>0.45</v>
      </c>
      <c r="D447" s="70">
        <v>1</v>
      </c>
      <c r="E447" s="71">
        <f t="shared" si="47"/>
        <v>-0.10125000000000001</v>
      </c>
      <c r="F447" s="72">
        <f t="shared" si="48"/>
        <v>0.36052696246164795</v>
      </c>
      <c r="G447" s="70">
        <f t="shared" si="44"/>
        <v>1.0000000000000009E-2</v>
      </c>
      <c r="H447" s="60">
        <f t="shared" si="43"/>
        <v>3.6052696246164826E-3</v>
      </c>
      <c r="I447" s="60">
        <f t="shared" si="50"/>
        <v>0.67541505599035978</v>
      </c>
      <c r="J447" s="60">
        <f t="shared" si="45"/>
        <v>0.67364477971208003</v>
      </c>
    </row>
    <row r="448" spans="1:10" x14ac:dyDescent="0.3">
      <c r="A448" s="70">
        <f t="shared" si="46"/>
        <v>0.46</v>
      </c>
      <c r="B448" s="60">
        <v>0</v>
      </c>
      <c r="C448" s="70">
        <v>0.46</v>
      </c>
      <c r="D448" s="70">
        <v>1</v>
      </c>
      <c r="E448" s="71">
        <f t="shared" si="47"/>
        <v>-0.10580000000000001</v>
      </c>
      <c r="F448" s="72">
        <f t="shared" si="48"/>
        <v>0.35889029103354464</v>
      </c>
      <c r="G448" s="70">
        <f t="shared" si="44"/>
        <v>9.9999999999999534E-3</v>
      </c>
      <c r="H448" s="60">
        <f t="shared" ref="H448:H511" si="51">F448*G448</f>
        <v>3.5889029103354296E-3</v>
      </c>
      <c r="I448" s="60">
        <f t="shared" si="50"/>
        <v>0.6790039589006952</v>
      </c>
      <c r="J448" s="60">
        <f t="shared" si="45"/>
        <v>0.67724188974965227</v>
      </c>
    </row>
    <row r="449" spans="1:10" x14ac:dyDescent="0.3">
      <c r="A449" s="70">
        <f t="shared" si="46"/>
        <v>0.47</v>
      </c>
      <c r="B449" s="60">
        <v>0</v>
      </c>
      <c r="C449" s="70">
        <v>0.47</v>
      </c>
      <c r="D449" s="70">
        <v>1</v>
      </c>
      <c r="E449" s="71">
        <f t="shared" si="47"/>
        <v>-0.11044999999999999</v>
      </c>
      <c r="F449" s="72">
        <f t="shared" si="48"/>
        <v>0.35722532522580086</v>
      </c>
      <c r="G449" s="70">
        <f t="shared" si="44"/>
        <v>1.0000000000000009E-2</v>
      </c>
      <c r="H449" s="60">
        <f t="shared" si="51"/>
        <v>3.5722532522580118E-3</v>
      </c>
      <c r="I449" s="60">
        <f t="shared" si="50"/>
        <v>0.68257621215295317</v>
      </c>
      <c r="J449" s="60">
        <f t="shared" si="45"/>
        <v>0.6808224912174442</v>
      </c>
    </row>
    <row r="450" spans="1:10" x14ac:dyDescent="0.3">
      <c r="A450" s="70">
        <f t="shared" si="46"/>
        <v>0.48</v>
      </c>
      <c r="B450" s="60">
        <v>0</v>
      </c>
      <c r="C450" s="70">
        <v>0.48</v>
      </c>
      <c r="D450" s="70">
        <v>1</v>
      </c>
      <c r="E450" s="71">
        <f t="shared" si="47"/>
        <v>-0.1152</v>
      </c>
      <c r="F450" s="72">
        <f t="shared" si="48"/>
        <v>0.35553252850599709</v>
      </c>
      <c r="G450" s="70">
        <f t="shared" ref="G450:G513" si="52">C451-C450</f>
        <v>1.0000000000000009E-2</v>
      </c>
      <c r="H450" s="60">
        <f t="shared" si="51"/>
        <v>3.5553252850599741E-3</v>
      </c>
      <c r="I450" s="60">
        <f t="shared" si="50"/>
        <v>0.68613153743801314</v>
      </c>
      <c r="J450" s="60">
        <f t="shared" ref="J450:J513" si="53">NORMSDIST(C450)</f>
        <v>0.68438630348377738</v>
      </c>
    </row>
    <row r="451" spans="1:10" x14ac:dyDescent="0.3">
      <c r="A451" s="70">
        <f t="shared" ref="A451:A514" si="54">B451+C451</f>
        <v>0.49</v>
      </c>
      <c r="B451" s="60">
        <v>0</v>
      </c>
      <c r="C451" s="70">
        <v>0.49</v>
      </c>
      <c r="D451" s="70">
        <v>1</v>
      </c>
      <c r="E451" s="71">
        <f t="shared" ref="E451:E514" si="55">-(A451-B451)*(A451-B451)/2</f>
        <v>-0.12004999999999999</v>
      </c>
      <c r="F451" s="72">
        <f t="shared" ref="F451:F514" si="56">(1/SQRT(2*PI()))*(EXP(E451))</f>
        <v>0.35381237049777969</v>
      </c>
      <c r="G451" s="70">
        <f t="shared" si="52"/>
        <v>1.0000000000000009E-2</v>
      </c>
      <c r="H451" s="60">
        <f t="shared" si="51"/>
        <v>3.5381237049777999E-3</v>
      </c>
      <c r="I451" s="60">
        <f t="shared" si="50"/>
        <v>0.68966966114299089</v>
      </c>
      <c r="J451" s="60">
        <f t="shared" si="53"/>
        <v>0.68793305058260945</v>
      </c>
    </row>
    <row r="452" spans="1:10" x14ac:dyDescent="0.3">
      <c r="A452" s="70">
        <f t="shared" si="54"/>
        <v>0.5</v>
      </c>
      <c r="B452" s="60">
        <v>0</v>
      </c>
      <c r="C452" s="70">
        <v>0.5</v>
      </c>
      <c r="D452" s="70">
        <v>1</v>
      </c>
      <c r="E452" s="71">
        <f t="shared" si="55"/>
        <v>-0.125</v>
      </c>
      <c r="F452" s="72">
        <f t="shared" si="56"/>
        <v>0.35206532676429952</v>
      </c>
      <c r="G452" s="70">
        <f t="shared" si="52"/>
        <v>1.0000000000000009E-2</v>
      </c>
      <c r="H452" s="60">
        <f t="shared" si="51"/>
        <v>3.5206532676429984E-3</v>
      </c>
      <c r="I452" s="60">
        <f t="shared" si="50"/>
        <v>0.69319031441063383</v>
      </c>
      <c r="J452" s="60">
        <f t="shared" si="53"/>
        <v>0.69146246127401312</v>
      </c>
    </row>
    <row r="453" spans="1:10" x14ac:dyDescent="0.3">
      <c r="A453" s="70">
        <f t="shared" si="54"/>
        <v>0.51</v>
      </c>
      <c r="B453" s="60">
        <v>0</v>
      </c>
      <c r="C453" s="70">
        <v>0.51</v>
      </c>
      <c r="D453" s="70">
        <v>1</v>
      </c>
      <c r="E453" s="71">
        <f t="shared" si="55"/>
        <v>-0.13005</v>
      </c>
      <c r="F453" s="72">
        <f t="shared" si="56"/>
        <v>0.35029187858972582</v>
      </c>
      <c r="G453" s="70">
        <f t="shared" si="52"/>
        <v>1.0000000000000009E-2</v>
      </c>
      <c r="H453" s="60">
        <f t="shared" si="51"/>
        <v>3.5029187858972612E-3</v>
      </c>
      <c r="I453" s="60">
        <f t="shared" si="50"/>
        <v>0.69669323319653109</v>
      </c>
      <c r="J453" s="60">
        <f t="shared" si="53"/>
        <v>0.69497426910248061</v>
      </c>
    </row>
    <row r="454" spans="1:10" x14ac:dyDescent="0.3">
      <c r="A454" s="70">
        <f t="shared" si="54"/>
        <v>0.52</v>
      </c>
      <c r="B454" s="60">
        <v>0</v>
      </c>
      <c r="C454" s="70">
        <v>0.52</v>
      </c>
      <c r="D454" s="70">
        <v>1</v>
      </c>
      <c r="E454" s="71">
        <f t="shared" si="55"/>
        <v>-0.13520000000000001</v>
      </c>
      <c r="F454" s="72">
        <f t="shared" si="56"/>
        <v>0.34849251275897447</v>
      </c>
      <c r="G454" s="70">
        <f t="shared" si="52"/>
        <v>1.0000000000000009E-2</v>
      </c>
      <c r="H454" s="60">
        <f t="shared" si="51"/>
        <v>3.4849251275897476E-3</v>
      </c>
      <c r="I454" s="60">
        <f t="shared" si="50"/>
        <v>0.70017815832412089</v>
      </c>
      <c r="J454" s="60">
        <f t="shared" si="53"/>
        <v>0.69846821245303381</v>
      </c>
    </row>
    <row r="455" spans="1:10" x14ac:dyDescent="0.3">
      <c r="A455" s="70">
        <f t="shared" si="54"/>
        <v>0.53</v>
      </c>
      <c r="B455" s="60">
        <v>0</v>
      </c>
      <c r="C455" s="70">
        <v>0.53</v>
      </c>
      <c r="D455" s="70">
        <v>1</v>
      </c>
      <c r="E455" s="71">
        <f t="shared" si="55"/>
        <v>-0.14045000000000002</v>
      </c>
      <c r="F455" s="72">
        <f t="shared" si="56"/>
        <v>0.34666772133579166</v>
      </c>
      <c r="G455" s="70">
        <f t="shared" si="52"/>
        <v>1.0000000000000009E-2</v>
      </c>
      <c r="H455" s="60">
        <f t="shared" si="51"/>
        <v>3.4666772133579195E-3</v>
      </c>
      <c r="I455" s="60">
        <f t="shared" si="50"/>
        <v>0.70364483553747881</v>
      </c>
      <c r="J455" s="60">
        <f t="shared" si="53"/>
        <v>0.70194403460512356</v>
      </c>
    </row>
    <row r="456" spans="1:10" x14ac:dyDescent="0.3">
      <c r="A456" s="70">
        <f t="shared" si="54"/>
        <v>0.54</v>
      </c>
      <c r="B456" s="60">
        <v>0</v>
      </c>
      <c r="C456" s="70">
        <v>0.54</v>
      </c>
      <c r="D456" s="70">
        <v>1</v>
      </c>
      <c r="E456" s="71">
        <f t="shared" si="55"/>
        <v>-0.14580000000000001</v>
      </c>
      <c r="F456" s="72">
        <f t="shared" si="56"/>
        <v>0.34481800143933333</v>
      </c>
      <c r="G456" s="70">
        <f t="shared" si="52"/>
        <v>1.0000000000000009E-2</v>
      </c>
      <c r="H456" s="60">
        <f t="shared" si="51"/>
        <v>3.4481800143933363E-3</v>
      </c>
      <c r="I456" s="60">
        <f t="shared" si="50"/>
        <v>0.70709301555187209</v>
      </c>
      <c r="J456" s="60">
        <f t="shared" si="53"/>
        <v>0.70540148378430201</v>
      </c>
    </row>
    <row r="457" spans="1:10" x14ac:dyDescent="0.3">
      <c r="A457" s="70">
        <f t="shared" si="54"/>
        <v>0.55000000000000004</v>
      </c>
      <c r="B457" s="60">
        <v>0</v>
      </c>
      <c r="C457" s="70">
        <v>0.55000000000000004</v>
      </c>
      <c r="D457" s="70">
        <v>1</v>
      </c>
      <c r="E457" s="71">
        <f t="shared" si="55"/>
        <v>-0.15125000000000002</v>
      </c>
      <c r="F457" s="72">
        <f t="shared" si="56"/>
        <v>0.3429438550193839</v>
      </c>
      <c r="G457" s="70">
        <f t="shared" si="52"/>
        <v>1.0000000000000009E-2</v>
      </c>
      <c r="H457" s="60">
        <f t="shared" si="51"/>
        <v>3.4294385501938422E-3</v>
      </c>
      <c r="I457" s="60">
        <f t="shared" si="50"/>
        <v>0.71052245410206594</v>
      </c>
      <c r="J457" s="60">
        <f t="shared" si="53"/>
        <v>0.70884031321165364</v>
      </c>
    </row>
    <row r="458" spans="1:10" x14ac:dyDescent="0.3">
      <c r="A458" s="70">
        <f t="shared" si="54"/>
        <v>0.56000000000000005</v>
      </c>
      <c r="B458" s="60">
        <v>0</v>
      </c>
      <c r="C458" s="70">
        <v>0.56000000000000005</v>
      </c>
      <c r="D458" s="70">
        <v>1</v>
      </c>
      <c r="E458" s="71">
        <f t="shared" si="55"/>
        <v>-0.15680000000000002</v>
      </c>
      <c r="F458" s="72">
        <f t="shared" si="56"/>
        <v>0.34104578863035256</v>
      </c>
      <c r="G458" s="70">
        <f t="shared" si="52"/>
        <v>9.9999999999998979E-3</v>
      </c>
      <c r="H458" s="60">
        <f t="shared" si="51"/>
        <v>3.4104578863034907E-3</v>
      </c>
      <c r="I458" s="60">
        <f t="shared" si="50"/>
        <v>0.71393291198836939</v>
      </c>
      <c r="J458" s="60">
        <f t="shared" si="53"/>
        <v>0.71226028115097295</v>
      </c>
    </row>
    <row r="459" spans="1:10" x14ac:dyDescent="0.3">
      <c r="A459" s="70">
        <f t="shared" si="54"/>
        <v>0.56999999999999995</v>
      </c>
      <c r="B459" s="60">
        <v>0</v>
      </c>
      <c r="C459" s="70">
        <v>0.56999999999999995</v>
      </c>
      <c r="D459" s="70">
        <v>1</v>
      </c>
      <c r="E459" s="71">
        <f t="shared" si="55"/>
        <v>-0.16244999999999998</v>
      </c>
      <c r="F459" s="72">
        <f t="shared" si="56"/>
        <v>0.33912431320419223</v>
      </c>
      <c r="G459" s="70">
        <f t="shared" si="52"/>
        <v>1.0000000000000009E-2</v>
      </c>
      <c r="H459" s="60">
        <f t="shared" si="51"/>
        <v>3.3912431320419255E-3</v>
      </c>
      <c r="I459" s="60">
        <f t="shared" si="50"/>
        <v>0.71732415512041137</v>
      </c>
      <c r="J459" s="60">
        <f t="shared" si="53"/>
        <v>0.71566115095367588</v>
      </c>
    </row>
    <row r="460" spans="1:10" x14ac:dyDescent="0.3">
      <c r="A460" s="70">
        <f t="shared" si="54"/>
        <v>0.57999999999999996</v>
      </c>
      <c r="B460" s="60">
        <v>0</v>
      </c>
      <c r="C460" s="70">
        <v>0.57999999999999996</v>
      </c>
      <c r="D460" s="70">
        <v>1</v>
      </c>
      <c r="E460" s="71">
        <f t="shared" si="55"/>
        <v>-0.16819999999999999</v>
      </c>
      <c r="F460" s="72">
        <f t="shared" si="56"/>
        <v>0.33717994382238059</v>
      </c>
      <c r="G460" s="70">
        <f t="shared" si="52"/>
        <v>1.0000000000000009E-2</v>
      </c>
      <c r="H460" s="60">
        <f t="shared" si="51"/>
        <v>3.3717994382238088E-3</v>
      </c>
      <c r="I460" s="60">
        <f t="shared" si="50"/>
        <v>0.72069595455863522</v>
      </c>
      <c r="J460" s="60">
        <f t="shared" si="53"/>
        <v>0.7190426911014357</v>
      </c>
    </row>
    <row r="461" spans="1:10" x14ac:dyDescent="0.3">
      <c r="A461" s="70">
        <f t="shared" si="54"/>
        <v>0.59</v>
      </c>
      <c r="B461" s="60">
        <v>0</v>
      </c>
      <c r="C461" s="70">
        <v>0.59</v>
      </c>
      <c r="D461" s="70">
        <v>1</v>
      </c>
      <c r="E461" s="71">
        <f t="shared" si="55"/>
        <v>-0.17404999999999998</v>
      </c>
      <c r="F461" s="72">
        <f t="shared" si="56"/>
        <v>0.33521319948710609</v>
      </c>
      <c r="G461" s="70">
        <f t="shared" si="52"/>
        <v>1.0000000000000009E-2</v>
      </c>
      <c r="H461" s="60">
        <f t="shared" si="51"/>
        <v>3.352131994871064E-3</v>
      </c>
      <c r="I461" s="60">
        <f t="shared" si="50"/>
        <v>0.72404808655350628</v>
      </c>
      <c r="J461" s="60">
        <f t="shared" si="53"/>
        <v>0.72240467524653507</v>
      </c>
    </row>
    <row r="462" spans="1:10" x14ac:dyDescent="0.3">
      <c r="A462" s="70">
        <f t="shared" si="54"/>
        <v>0.6</v>
      </c>
      <c r="B462" s="60">
        <v>0</v>
      </c>
      <c r="C462" s="70">
        <v>0.6</v>
      </c>
      <c r="D462" s="70">
        <v>1</v>
      </c>
      <c r="E462" s="71">
        <f t="shared" si="55"/>
        <v>-0.18</v>
      </c>
      <c r="F462" s="72">
        <f t="shared" si="56"/>
        <v>0.33322460289179967</v>
      </c>
      <c r="G462" s="70">
        <f t="shared" si="52"/>
        <v>1.0000000000000009E-2</v>
      </c>
      <c r="H462" s="60">
        <f t="shared" si="51"/>
        <v>3.3322460289179996E-3</v>
      </c>
      <c r="I462" s="60">
        <f t="shared" si="50"/>
        <v>0.72738033258242429</v>
      </c>
      <c r="J462" s="60">
        <f t="shared" si="53"/>
        <v>0.72574688224992645</v>
      </c>
    </row>
    <row r="463" spans="1:10" x14ac:dyDescent="0.3">
      <c r="A463" s="70">
        <f t="shared" si="54"/>
        <v>0.61</v>
      </c>
      <c r="B463" s="60">
        <v>0</v>
      </c>
      <c r="C463" s="70">
        <v>0.61</v>
      </c>
      <c r="D463" s="70">
        <v>1</v>
      </c>
      <c r="E463" s="71">
        <f t="shared" si="55"/>
        <v>-0.18604999999999999</v>
      </c>
      <c r="F463" s="72">
        <f t="shared" si="56"/>
        <v>0.33121468019115297</v>
      </c>
      <c r="G463" s="70">
        <f t="shared" si="52"/>
        <v>1.0000000000000009E-2</v>
      </c>
      <c r="H463" s="60">
        <f t="shared" si="51"/>
        <v>3.3121468019115326E-3</v>
      </c>
      <c r="I463" s="60">
        <f t="shared" si="50"/>
        <v>0.73069247938433579</v>
      </c>
      <c r="J463" s="60">
        <f t="shared" si="53"/>
        <v>0.72906909621699434</v>
      </c>
    </row>
    <row r="464" spans="1:10" x14ac:dyDescent="0.3">
      <c r="A464" s="70">
        <f t="shared" si="54"/>
        <v>0.62</v>
      </c>
      <c r="B464" s="60">
        <v>0</v>
      </c>
      <c r="C464" s="70">
        <v>0.62</v>
      </c>
      <c r="D464" s="70">
        <v>1</v>
      </c>
      <c r="E464" s="71">
        <f t="shared" si="55"/>
        <v>-0.19220000000000001</v>
      </c>
      <c r="F464" s="72">
        <f t="shared" si="56"/>
        <v>0.32918396077076478</v>
      </c>
      <c r="G464" s="70">
        <f t="shared" si="52"/>
        <v>1.0000000000000009E-2</v>
      </c>
      <c r="H464" s="60">
        <f t="shared" si="51"/>
        <v>3.2918396077076507E-3</v>
      </c>
      <c r="I464" s="60">
        <f t="shared" si="50"/>
        <v>0.73398431899204342</v>
      </c>
      <c r="J464" s="60">
        <f t="shared" si="53"/>
        <v>0.732371106531017</v>
      </c>
    </row>
    <row r="465" spans="1:10" x14ac:dyDescent="0.3">
      <c r="A465" s="70">
        <f t="shared" si="54"/>
        <v>0.63</v>
      </c>
      <c r="B465" s="60">
        <v>0</v>
      </c>
      <c r="C465" s="70">
        <v>0.63</v>
      </c>
      <c r="D465" s="70">
        <v>1</v>
      </c>
      <c r="E465" s="71">
        <f t="shared" si="55"/>
        <v>-0.19845000000000002</v>
      </c>
      <c r="F465" s="72">
        <f t="shared" si="56"/>
        <v>0.32713297701655447</v>
      </c>
      <c r="G465" s="70">
        <f t="shared" si="52"/>
        <v>1.0000000000000009E-2</v>
      </c>
      <c r="H465" s="60">
        <f t="shared" si="51"/>
        <v>3.2713297701655476E-3</v>
      </c>
      <c r="I465" s="60">
        <f t="shared" si="50"/>
        <v>0.73725564876220895</v>
      </c>
      <c r="J465" s="60">
        <f t="shared" si="53"/>
        <v>0.73565270788432247</v>
      </c>
    </row>
    <row r="466" spans="1:10" x14ac:dyDescent="0.3">
      <c r="A466" s="70">
        <f t="shared" si="54"/>
        <v>0.64</v>
      </c>
      <c r="B466" s="60">
        <v>0</v>
      </c>
      <c r="C466" s="70">
        <v>0.64</v>
      </c>
      <c r="D466" s="70">
        <v>1</v>
      </c>
      <c r="E466" s="71">
        <f t="shared" si="55"/>
        <v>-0.20480000000000001</v>
      </c>
      <c r="F466" s="72">
        <f t="shared" si="56"/>
        <v>0.32506226408408218</v>
      </c>
      <c r="G466" s="70">
        <f t="shared" si="52"/>
        <v>1.0000000000000009E-2</v>
      </c>
      <c r="H466" s="60">
        <f t="shared" si="51"/>
        <v>3.2506226408408247E-3</v>
      </c>
      <c r="I466" s="60">
        <f t="shared" si="50"/>
        <v>0.74050627140304981</v>
      </c>
      <c r="J466" s="60">
        <f t="shared" si="53"/>
        <v>0.73891370030713843</v>
      </c>
    </row>
    <row r="467" spans="1:10" x14ac:dyDescent="0.3">
      <c r="A467" s="70">
        <f t="shared" si="54"/>
        <v>0.65</v>
      </c>
      <c r="B467" s="60">
        <v>0</v>
      </c>
      <c r="C467" s="70">
        <v>0.65</v>
      </c>
      <c r="D467" s="70">
        <v>1</v>
      </c>
      <c r="E467" s="71">
        <f t="shared" si="55"/>
        <v>-0.21125000000000002</v>
      </c>
      <c r="F467" s="72">
        <f t="shared" si="56"/>
        <v>0.32297235966791427</v>
      </c>
      <c r="G467" s="70">
        <f t="shared" si="52"/>
        <v>1.0000000000000009E-2</v>
      </c>
      <c r="H467" s="60">
        <f t="shared" si="51"/>
        <v>3.2297235966791456E-3</v>
      </c>
      <c r="I467" s="60">
        <f t="shared" ref="I467:I530" si="57">H467+I466</f>
        <v>0.74373599499972898</v>
      </c>
      <c r="J467" s="60">
        <f t="shared" si="53"/>
        <v>0.74215388919413527</v>
      </c>
    </row>
    <row r="468" spans="1:10" x14ac:dyDescent="0.3">
      <c r="A468" s="70">
        <f t="shared" si="54"/>
        <v>0.66</v>
      </c>
      <c r="B468" s="60">
        <v>0</v>
      </c>
      <c r="C468" s="70">
        <v>0.66</v>
      </c>
      <c r="D468" s="70">
        <v>1</v>
      </c>
      <c r="E468" s="71">
        <f t="shared" si="55"/>
        <v>-0.21780000000000002</v>
      </c>
      <c r="F468" s="72">
        <f t="shared" si="56"/>
        <v>0.32086380377117252</v>
      </c>
      <c r="G468" s="70">
        <f t="shared" si="52"/>
        <v>1.0000000000000009E-2</v>
      </c>
      <c r="H468" s="60">
        <f t="shared" si="51"/>
        <v>3.208638037711728E-3</v>
      </c>
      <c r="I468" s="60">
        <f t="shared" si="57"/>
        <v>0.74694463303744074</v>
      </c>
      <c r="J468" s="60">
        <f t="shared" si="53"/>
        <v>0.74537308532866398</v>
      </c>
    </row>
    <row r="469" spans="1:10" x14ac:dyDescent="0.3">
      <c r="A469" s="70">
        <f t="shared" si="54"/>
        <v>0.67</v>
      </c>
      <c r="B469" s="60">
        <v>0</v>
      </c>
      <c r="C469" s="70">
        <v>0.67</v>
      </c>
      <c r="D469" s="70">
        <v>1</v>
      </c>
      <c r="E469" s="71">
        <f t="shared" si="55"/>
        <v>-0.22445000000000004</v>
      </c>
      <c r="F469" s="72">
        <f t="shared" si="56"/>
        <v>0.31873713847540153</v>
      </c>
      <c r="G469" s="70">
        <f t="shared" si="52"/>
        <v>1.0000000000000009E-2</v>
      </c>
      <c r="H469" s="60">
        <f t="shared" si="51"/>
        <v>3.1873713847540182E-3</v>
      </c>
      <c r="I469" s="60">
        <f t="shared" si="57"/>
        <v>0.75013200442219474</v>
      </c>
      <c r="J469" s="60">
        <f t="shared" si="53"/>
        <v>0.74857110490468992</v>
      </c>
    </row>
    <row r="470" spans="1:10" x14ac:dyDescent="0.3">
      <c r="A470" s="70">
        <f t="shared" si="54"/>
        <v>0.68</v>
      </c>
      <c r="B470" s="60">
        <v>0</v>
      </c>
      <c r="C470" s="70">
        <v>0.68</v>
      </c>
      <c r="D470" s="70">
        <v>1</v>
      </c>
      <c r="E470" s="71">
        <f t="shared" si="55"/>
        <v>-0.23120000000000004</v>
      </c>
      <c r="F470" s="72">
        <f t="shared" si="56"/>
        <v>0.31659290771089277</v>
      </c>
      <c r="G470" s="70">
        <f t="shared" si="52"/>
        <v>9.9999999999998979E-3</v>
      </c>
      <c r="H470" s="60">
        <f t="shared" si="51"/>
        <v>3.1659290771088953E-3</v>
      </c>
      <c r="I470" s="60">
        <f t="shared" si="57"/>
        <v>0.75329793349930363</v>
      </c>
      <c r="J470" s="60">
        <f t="shared" si="53"/>
        <v>0.75174776954642952</v>
      </c>
    </row>
    <row r="471" spans="1:10" x14ac:dyDescent="0.3">
      <c r="A471" s="70">
        <f t="shared" si="54"/>
        <v>0.69</v>
      </c>
      <c r="B471" s="60">
        <v>0</v>
      </c>
      <c r="C471" s="70">
        <v>0.69</v>
      </c>
      <c r="D471" s="70">
        <v>1</v>
      </c>
      <c r="E471" s="71">
        <f t="shared" si="55"/>
        <v>-0.23804999999999996</v>
      </c>
      <c r="F471" s="72">
        <f t="shared" si="56"/>
        <v>0.31443165702759734</v>
      </c>
      <c r="G471" s="70">
        <f t="shared" si="52"/>
        <v>1.0000000000000009E-2</v>
      </c>
      <c r="H471" s="60">
        <f t="shared" si="51"/>
        <v>3.144316570275976E-3</v>
      </c>
      <c r="I471" s="60">
        <f t="shared" si="57"/>
        <v>0.75644225006957966</v>
      </c>
      <c r="J471" s="60">
        <f t="shared" si="53"/>
        <v>0.75490290632569057</v>
      </c>
    </row>
    <row r="472" spans="1:10" x14ac:dyDescent="0.3">
      <c r="A472" s="70">
        <f t="shared" si="54"/>
        <v>0.7</v>
      </c>
      <c r="B472" s="60">
        <v>0</v>
      </c>
      <c r="C472" s="70">
        <v>0.7</v>
      </c>
      <c r="D472" s="70">
        <v>1</v>
      </c>
      <c r="E472" s="71">
        <f t="shared" si="55"/>
        <v>-0.24499999999999997</v>
      </c>
      <c r="F472" s="72">
        <f t="shared" si="56"/>
        <v>0.31225393336676127</v>
      </c>
      <c r="G472" s="70">
        <f t="shared" si="52"/>
        <v>1.0000000000000009E-2</v>
      </c>
      <c r="H472" s="60">
        <f t="shared" si="51"/>
        <v>3.1225393336676154E-3</v>
      </c>
      <c r="I472" s="60">
        <f t="shared" si="57"/>
        <v>0.75956478940324723</v>
      </c>
      <c r="J472" s="60">
        <f t="shared" si="53"/>
        <v>0.75803634777692697</v>
      </c>
    </row>
    <row r="473" spans="1:10" x14ac:dyDescent="0.3">
      <c r="A473" s="70">
        <f t="shared" si="54"/>
        <v>0.71</v>
      </c>
      <c r="B473" s="60">
        <v>0</v>
      </c>
      <c r="C473" s="70">
        <v>0.71</v>
      </c>
      <c r="D473" s="70">
        <v>1</v>
      </c>
      <c r="E473" s="71">
        <f t="shared" si="55"/>
        <v>-0.25205</v>
      </c>
      <c r="F473" s="72">
        <f t="shared" si="56"/>
        <v>0.31006028483341613</v>
      </c>
      <c r="G473" s="70">
        <f t="shared" si="52"/>
        <v>1.0000000000000009E-2</v>
      </c>
      <c r="H473" s="60">
        <f t="shared" si="51"/>
        <v>3.1006028483341642E-3</v>
      </c>
      <c r="I473" s="60">
        <f t="shared" si="57"/>
        <v>0.76266539225158136</v>
      </c>
      <c r="J473" s="60">
        <f t="shared" si="53"/>
        <v>0.76114793191001329</v>
      </c>
    </row>
    <row r="474" spans="1:10" x14ac:dyDescent="0.3">
      <c r="A474" s="70">
        <f t="shared" si="54"/>
        <v>0.72</v>
      </c>
      <c r="B474" s="60">
        <v>0</v>
      </c>
      <c r="C474" s="70">
        <v>0.72</v>
      </c>
      <c r="D474" s="70">
        <v>1</v>
      </c>
      <c r="E474" s="71">
        <f t="shared" si="55"/>
        <v>-0.25919999999999999</v>
      </c>
      <c r="F474" s="72">
        <f t="shared" si="56"/>
        <v>0.30785126046985295</v>
      </c>
      <c r="G474" s="70">
        <f t="shared" si="52"/>
        <v>1.0000000000000009E-2</v>
      </c>
      <c r="H474" s="60">
        <f t="shared" si="51"/>
        <v>3.0785126046985324E-3</v>
      </c>
      <c r="I474" s="60">
        <f t="shared" si="57"/>
        <v>0.76574390485627986</v>
      </c>
      <c r="J474" s="60">
        <f t="shared" si="53"/>
        <v>0.76423750222074882</v>
      </c>
    </row>
    <row r="475" spans="1:10" x14ac:dyDescent="0.3">
      <c r="A475" s="70">
        <f t="shared" si="54"/>
        <v>0.73</v>
      </c>
      <c r="B475" s="60">
        <v>0</v>
      </c>
      <c r="C475" s="70">
        <v>0.73</v>
      </c>
      <c r="D475" s="70">
        <v>1</v>
      </c>
      <c r="E475" s="71">
        <f t="shared" si="55"/>
        <v>-0.26644999999999996</v>
      </c>
      <c r="F475" s="72">
        <f t="shared" si="56"/>
        <v>0.30562741003020988</v>
      </c>
      <c r="G475" s="70">
        <f t="shared" si="52"/>
        <v>1.0000000000000009E-2</v>
      </c>
      <c r="H475" s="60">
        <f t="shared" si="51"/>
        <v>3.0562741003021016E-3</v>
      </c>
      <c r="I475" s="60">
        <f t="shared" si="57"/>
        <v>0.76880017895658193</v>
      </c>
      <c r="J475" s="60">
        <f t="shared" si="53"/>
        <v>0.76730490769910253</v>
      </c>
    </row>
    <row r="476" spans="1:10" x14ac:dyDescent="0.3">
      <c r="A476" s="70">
        <f t="shared" si="54"/>
        <v>0.74</v>
      </c>
      <c r="B476" s="60">
        <v>0</v>
      </c>
      <c r="C476" s="70">
        <v>0.74</v>
      </c>
      <c r="D476" s="70">
        <v>1</v>
      </c>
      <c r="E476" s="71">
        <f t="shared" si="55"/>
        <v>-0.27379999999999999</v>
      </c>
      <c r="F476" s="72">
        <f t="shared" si="56"/>
        <v>0.30338928375630014</v>
      </c>
      <c r="G476" s="70">
        <f t="shared" si="52"/>
        <v>1.0000000000000009E-2</v>
      </c>
      <c r="H476" s="60">
        <f t="shared" si="51"/>
        <v>3.033892837563004E-3</v>
      </c>
      <c r="I476" s="60">
        <f t="shared" si="57"/>
        <v>0.77183407179414498</v>
      </c>
      <c r="J476" s="60">
        <f t="shared" si="53"/>
        <v>0.77035000283520938</v>
      </c>
    </row>
    <row r="477" spans="1:10" x14ac:dyDescent="0.3">
      <c r="A477" s="70">
        <f t="shared" si="54"/>
        <v>0.75</v>
      </c>
      <c r="B477" s="60">
        <v>0</v>
      </c>
      <c r="C477" s="70">
        <v>0.75</v>
      </c>
      <c r="D477" s="70">
        <v>1</v>
      </c>
      <c r="E477" s="71">
        <f t="shared" si="55"/>
        <v>-0.28125</v>
      </c>
      <c r="F477" s="72">
        <f t="shared" si="56"/>
        <v>0.30113743215480443</v>
      </c>
      <c r="G477" s="70">
        <f t="shared" si="52"/>
        <v>1.0000000000000009E-2</v>
      </c>
      <c r="H477" s="60">
        <f t="shared" si="51"/>
        <v>3.0113743215480471E-3</v>
      </c>
      <c r="I477" s="60">
        <f t="shared" si="57"/>
        <v>0.77484544611569306</v>
      </c>
      <c r="J477" s="60">
        <f t="shared" si="53"/>
        <v>0.77337264762313174</v>
      </c>
    </row>
    <row r="478" spans="1:10" x14ac:dyDescent="0.3">
      <c r="A478" s="70">
        <f t="shared" si="54"/>
        <v>0.76</v>
      </c>
      <c r="B478" s="60">
        <v>0</v>
      </c>
      <c r="C478" s="70">
        <v>0.76</v>
      </c>
      <c r="D478" s="70">
        <v>1</v>
      </c>
      <c r="E478" s="71">
        <f t="shared" si="55"/>
        <v>-0.2888</v>
      </c>
      <c r="F478" s="72">
        <f t="shared" si="56"/>
        <v>0.29887240577595275</v>
      </c>
      <c r="G478" s="70">
        <f t="shared" si="52"/>
        <v>1.0000000000000009E-2</v>
      </c>
      <c r="H478" s="60">
        <f t="shared" si="51"/>
        <v>2.9887240577595301E-3</v>
      </c>
      <c r="I478" s="60">
        <f t="shared" si="57"/>
        <v>0.77783417017345258</v>
      </c>
      <c r="J478" s="60">
        <f t="shared" si="53"/>
        <v>0.77637270756240062</v>
      </c>
    </row>
    <row r="479" spans="1:10" x14ac:dyDescent="0.3">
      <c r="A479" s="70">
        <f t="shared" si="54"/>
        <v>0.77</v>
      </c>
      <c r="B479" s="60">
        <v>0</v>
      </c>
      <c r="C479" s="70">
        <v>0.77</v>
      </c>
      <c r="D479" s="70">
        <v>1</v>
      </c>
      <c r="E479" s="71">
        <f t="shared" si="55"/>
        <v>-0.29644999999999999</v>
      </c>
      <c r="F479" s="72">
        <f t="shared" si="56"/>
        <v>0.29659475499381571</v>
      </c>
      <c r="G479" s="70">
        <f t="shared" si="52"/>
        <v>1.0000000000000009E-2</v>
      </c>
      <c r="H479" s="60">
        <f t="shared" si="51"/>
        <v>2.9659475499381597E-3</v>
      </c>
      <c r="I479" s="60">
        <f t="shared" si="57"/>
        <v>0.78080011772339075</v>
      </c>
      <c r="J479" s="60">
        <f t="shared" si="53"/>
        <v>0.77935005365735044</v>
      </c>
    </row>
    <row r="480" spans="1:10" x14ac:dyDescent="0.3">
      <c r="A480" s="70">
        <f t="shared" si="54"/>
        <v>0.78</v>
      </c>
      <c r="B480" s="60">
        <v>0</v>
      </c>
      <c r="C480" s="70">
        <v>0.78</v>
      </c>
      <c r="D480" s="70">
        <v>1</v>
      </c>
      <c r="E480" s="71">
        <f t="shared" si="55"/>
        <v>-0.30420000000000003</v>
      </c>
      <c r="F480" s="72">
        <f t="shared" si="56"/>
        <v>0.29430502978832512</v>
      </c>
      <c r="G480" s="70">
        <f t="shared" si="52"/>
        <v>1.0000000000000009E-2</v>
      </c>
      <c r="H480" s="60">
        <f t="shared" si="51"/>
        <v>2.9430502978832537E-3</v>
      </c>
      <c r="I480" s="60">
        <f t="shared" si="57"/>
        <v>0.78374316802127397</v>
      </c>
      <c r="J480" s="60">
        <f t="shared" si="53"/>
        <v>0.78230456241426694</v>
      </c>
    </row>
    <row r="481" spans="1:10" x14ac:dyDescent="0.3">
      <c r="A481" s="70">
        <f t="shared" si="54"/>
        <v>0.79</v>
      </c>
      <c r="B481" s="60">
        <v>0</v>
      </c>
      <c r="C481" s="70">
        <v>0.79</v>
      </c>
      <c r="D481" s="70">
        <v>1</v>
      </c>
      <c r="E481" s="71">
        <f t="shared" si="55"/>
        <v>-0.31205000000000005</v>
      </c>
      <c r="F481" s="72">
        <f t="shared" si="56"/>
        <v>0.29200377952914142</v>
      </c>
      <c r="G481" s="70">
        <f t="shared" si="52"/>
        <v>1.0000000000000009E-2</v>
      </c>
      <c r="H481" s="60">
        <f t="shared" si="51"/>
        <v>2.9200377952914168E-3</v>
      </c>
      <c r="I481" s="60">
        <f t="shared" si="57"/>
        <v>0.78666320581656535</v>
      </c>
      <c r="J481" s="60">
        <f t="shared" si="53"/>
        <v>0.78523611583636288</v>
      </c>
    </row>
    <row r="482" spans="1:10" x14ac:dyDescent="0.3">
      <c r="A482" s="70">
        <f t="shared" si="54"/>
        <v>0.8</v>
      </c>
      <c r="B482" s="60">
        <v>0</v>
      </c>
      <c r="C482" s="70">
        <v>0.8</v>
      </c>
      <c r="D482" s="70">
        <v>1</v>
      </c>
      <c r="E482" s="71">
        <f t="shared" si="55"/>
        <v>-0.32000000000000006</v>
      </c>
      <c r="F482" s="72">
        <f t="shared" si="56"/>
        <v>0.28969155276148273</v>
      </c>
      <c r="G482" s="70">
        <f t="shared" si="52"/>
        <v>1.0000000000000009E-2</v>
      </c>
      <c r="H482" s="60">
        <f t="shared" si="51"/>
        <v>2.8969155276148298E-3</v>
      </c>
      <c r="I482" s="60">
        <f t="shared" si="57"/>
        <v>0.78956012134418019</v>
      </c>
      <c r="J482" s="60">
        <f t="shared" si="53"/>
        <v>0.78814460141660336</v>
      </c>
    </row>
    <row r="483" spans="1:10" x14ac:dyDescent="0.3">
      <c r="A483" s="70">
        <f t="shared" si="54"/>
        <v>0.81</v>
      </c>
      <c r="B483" s="60">
        <v>0</v>
      </c>
      <c r="C483" s="70">
        <v>0.81</v>
      </c>
      <c r="D483" s="70">
        <v>1</v>
      </c>
      <c r="E483" s="71">
        <f t="shared" si="55"/>
        <v>-0.32805000000000006</v>
      </c>
      <c r="F483" s="72">
        <f t="shared" si="56"/>
        <v>0.28736889699402829</v>
      </c>
      <c r="G483" s="70">
        <f t="shared" si="52"/>
        <v>9.9999999999998979E-3</v>
      </c>
      <c r="H483" s="60">
        <f t="shared" si="51"/>
        <v>2.8736889699402537E-3</v>
      </c>
      <c r="I483" s="60">
        <f t="shared" si="57"/>
        <v>0.79243381031412041</v>
      </c>
      <c r="J483" s="60">
        <f t="shared" si="53"/>
        <v>0.79102991212839835</v>
      </c>
    </row>
    <row r="484" spans="1:10" x14ac:dyDescent="0.3">
      <c r="A484" s="70">
        <f t="shared" si="54"/>
        <v>0.82</v>
      </c>
      <c r="B484" s="60">
        <v>0</v>
      </c>
      <c r="C484" s="70">
        <v>0.82</v>
      </c>
      <c r="D484" s="70">
        <v>1</v>
      </c>
      <c r="E484" s="71">
        <f t="shared" si="55"/>
        <v>-0.33619999999999994</v>
      </c>
      <c r="F484" s="72">
        <f t="shared" si="56"/>
        <v>0.28503635848900727</v>
      </c>
      <c r="G484" s="70">
        <f t="shared" si="52"/>
        <v>1.0000000000000009E-2</v>
      </c>
      <c r="H484" s="60">
        <f t="shared" si="51"/>
        <v>2.850363584890075E-3</v>
      </c>
      <c r="I484" s="60">
        <f t="shared" si="57"/>
        <v>0.79528417389901052</v>
      </c>
      <c r="J484" s="60">
        <f t="shared" si="53"/>
        <v>0.79389194641418692</v>
      </c>
    </row>
    <row r="485" spans="1:10" x14ac:dyDescent="0.3">
      <c r="A485" s="70">
        <f t="shared" si="54"/>
        <v>0.83</v>
      </c>
      <c r="B485" s="60">
        <v>0</v>
      </c>
      <c r="C485" s="70">
        <v>0.83</v>
      </c>
      <c r="D485" s="70">
        <v>1</v>
      </c>
      <c r="E485" s="71">
        <f t="shared" si="55"/>
        <v>-0.34444999999999998</v>
      </c>
      <c r="F485" s="72">
        <f t="shared" si="56"/>
        <v>0.28269448205458025</v>
      </c>
      <c r="G485" s="70">
        <f t="shared" si="52"/>
        <v>1.0000000000000009E-2</v>
      </c>
      <c r="H485" s="60">
        <f t="shared" si="51"/>
        <v>2.826944820545805E-3</v>
      </c>
      <c r="I485" s="60">
        <f t="shared" si="57"/>
        <v>0.79811111871955631</v>
      </c>
      <c r="J485" s="60">
        <f t="shared" si="53"/>
        <v>0.79673060817193153</v>
      </c>
    </row>
    <row r="486" spans="1:10" x14ac:dyDescent="0.3">
      <c r="A486" s="70">
        <f t="shared" si="54"/>
        <v>0.84</v>
      </c>
      <c r="B486" s="60">
        <v>0</v>
      </c>
      <c r="C486" s="70">
        <v>0.84</v>
      </c>
      <c r="D486" s="70">
        <v>1</v>
      </c>
      <c r="E486" s="71">
        <f t="shared" si="55"/>
        <v>-0.35279999999999995</v>
      </c>
      <c r="F486" s="72">
        <f t="shared" si="56"/>
        <v>0.28034381083962062</v>
      </c>
      <c r="G486" s="70">
        <f t="shared" si="52"/>
        <v>1.0000000000000009E-2</v>
      </c>
      <c r="H486" s="60">
        <f t="shared" si="51"/>
        <v>2.8034381083962088E-3</v>
      </c>
      <c r="I486" s="60">
        <f t="shared" si="57"/>
        <v>0.80091455682795254</v>
      </c>
      <c r="J486" s="60">
        <f t="shared" si="53"/>
        <v>0.79954580673955034</v>
      </c>
    </row>
    <row r="487" spans="1:10" x14ac:dyDescent="0.3">
      <c r="A487" s="70">
        <f t="shared" si="54"/>
        <v>0.85</v>
      </c>
      <c r="B487" s="60">
        <v>0</v>
      </c>
      <c r="C487" s="70">
        <v>0.85</v>
      </c>
      <c r="D487" s="70">
        <v>1</v>
      </c>
      <c r="E487" s="71">
        <f t="shared" si="55"/>
        <v>-0.36124999999999996</v>
      </c>
      <c r="F487" s="72">
        <f t="shared" si="56"/>
        <v>0.27798488613099648</v>
      </c>
      <c r="G487" s="70">
        <f t="shared" si="52"/>
        <v>1.0000000000000009E-2</v>
      </c>
      <c r="H487" s="60">
        <f t="shared" si="51"/>
        <v>2.7798488613099671E-3</v>
      </c>
      <c r="I487" s="60">
        <f t="shared" si="57"/>
        <v>0.80369440568926254</v>
      </c>
      <c r="J487" s="60">
        <f t="shared" si="53"/>
        <v>0.80233745687730762</v>
      </c>
    </row>
    <row r="488" spans="1:10" x14ac:dyDescent="0.3">
      <c r="A488" s="70">
        <f t="shared" si="54"/>
        <v>0.86</v>
      </c>
      <c r="B488" s="60">
        <v>0</v>
      </c>
      <c r="C488" s="70">
        <v>0.86</v>
      </c>
      <c r="D488" s="70">
        <v>1</v>
      </c>
      <c r="E488" s="71">
        <f t="shared" si="55"/>
        <v>-0.36979999999999996</v>
      </c>
      <c r="F488" s="72">
        <f t="shared" si="56"/>
        <v>0.27561824715345667</v>
      </c>
      <c r="G488" s="70">
        <f t="shared" si="52"/>
        <v>1.0000000000000009E-2</v>
      </c>
      <c r="H488" s="60">
        <f t="shared" si="51"/>
        <v>2.756182471534569E-3</v>
      </c>
      <c r="I488" s="60">
        <f t="shared" si="57"/>
        <v>0.80645058816079707</v>
      </c>
      <c r="J488" s="60">
        <f t="shared" si="53"/>
        <v>0.80510547874819172</v>
      </c>
    </row>
    <row r="489" spans="1:10" x14ac:dyDescent="0.3">
      <c r="A489" s="70">
        <f t="shared" si="54"/>
        <v>0.87</v>
      </c>
      <c r="B489" s="60">
        <v>0</v>
      </c>
      <c r="C489" s="70">
        <v>0.87</v>
      </c>
      <c r="D489" s="70">
        <v>1</v>
      </c>
      <c r="E489" s="71">
        <f t="shared" si="55"/>
        <v>-0.37845000000000001</v>
      </c>
      <c r="F489" s="72">
        <f t="shared" si="56"/>
        <v>0.27324443087221623</v>
      </c>
      <c r="G489" s="70">
        <f t="shared" si="52"/>
        <v>1.0000000000000009E-2</v>
      </c>
      <c r="H489" s="60">
        <f t="shared" si="51"/>
        <v>2.7324443087221647E-3</v>
      </c>
      <c r="I489" s="60">
        <f t="shared" si="57"/>
        <v>0.80918303246951928</v>
      </c>
      <c r="J489" s="60">
        <f t="shared" si="53"/>
        <v>0.80784979789630373</v>
      </c>
    </row>
    <row r="490" spans="1:10" x14ac:dyDescent="0.3">
      <c r="A490" s="70">
        <f t="shared" si="54"/>
        <v>0.88</v>
      </c>
      <c r="B490" s="60">
        <v>0</v>
      </c>
      <c r="C490" s="70">
        <v>0.88</v>
      </c>
      <c r="D490" s="70">
        <v>1</v>
      </c>
      <c r="E490" s="71">
        <f t="shared" si="55"/>
        <v>-0.38719999999999999</v>
      </c>
      <c r="F490" s="72">
        <f t="shared" si="56"/>
        <v>0.27086397179833799</v>
      </c>
      <c r="G490" s="70">
        <f t="shared" si="52"/>
        <v>1.0000000000000009E-2</v>
      </c>
      <c r="H490" s="60">
        <f t="shared" si="51"/>
        <v>2.7086397179833825E-3</v>
      </c>
      <c r="I490" s="60">
        <f t="shared" si="57"/>
        <v>0.81189167218750269</v>
      </c>
      <c r="J490" s="60">
        <f t="shared" si="53"/>
        <v>0.81057034522328786</v>
      </c>
    </row>
    <row r="491" spans="1:10" x14ac:dyDescent="0.3">
      <c r="A491" s="70">
        <f t="shared" si="54"/>
        <v>0.89</v>
      </c>
      <c r="B491" s="60">
        <v>0</v>
      </c>
      <c r="C491" s="70">
        <v>0.89</v>
      </c>
      <c r="D491" s="70">
        <v>1</v>
      </c>
      <c r="E491" s="71">
        <f t="shared" si="55"/>
        <v>-0.39605000000000001</v>
      </c>
      <c r="F491" s="72">
        <f t="shared" si="56"/>
        <v>0.26847740179700241</v>
      </c>
      <c r="G491" s="70">
        <f t="shared" si="52"/>
        <v>1.0000000000000009E-2</v>
      </c>
      <c r="H491" s="60">
        <f t="shared" si="51"/>
        <v>2.6847740179700265E-3</v>
      </c>
      <c r="I491" s="60">
        <f t="shared" si="57"/>
        <v>0.81457644620547276</v>
      </c>
      <c r="J491" s="60">
        <f t="shared" si="53"/>
        <v>0.81326705696282742</v>
      </c>
    </row>
    <row r="492" spans="1:10" x14ac:dyDescent="0.3">
      <c r="A492" s="70">
        <f t="shared" si="54"/>
        <v>0.9</v>
      </c>
      <c r="B492" s="60">
        <v>0</v>
      </c>
      <c r="C492" s="70">
        <v>0.9</v>
      </c>
      <c r="D492" s="70">
        <v>1</v>
      </c>
      <c r="E492" s="71">
        <f t="shared" si="55"/>
        <v>-0.40500000000000003</v>
      </c>
      <c r="F492" s="72">
        <f t="shared" si="56"/>
        <v>0.26608524989875482</v>
      </c>
      <c r="G492" s="70">
        <f t="shared" si="52"/>
        <v>1.0000000000000009E-2</v>
      </c>
      <c r="H492" s="60">
        <f t="shared" si="51"/>
        <v>2.6608524989875505E-3</v>
      </c>
      <c r="I492" s="60">
        <f t="shared" si="57"/>
        <v>0.81723729870446027</v>
      </c>
      <c r="J492" s="60">
        <f t="shared" si="53"/>
        <v>0.81593987465324047</v>
      </c>
    </row>
    <row r="493" spans="1:10" x14ac:dyDescent="0.3">
      <c r="A493" s="70">
        <f t="shared" si="54"/>
        <v>0.91</v>
      </c>
      <c r="B493" s="60">
        <v>0</v>
      </c>
      <c r="C493" s="70">
        <v>0.91</v>
      </c>
      <c r="D493" s="70">
        <v>1</v>
      </c>
      <c r="E493" s="71">
        <f t="shared" si="55"/>
        <v>-0.41405000000000003</v>
      </c>
      <c r="F493" s="72">
        <f t="shared" si="56"/>
        <v>0.26368804211381813</v>
      </c>
      <c r="G493" s="70">
        <f t="shared" si="52"/>
        <v>1.0000000000000009E-2</v>
      </c>
      <c r="H493" s="60">
        <f t="shared" si="51"/>
        <v>2.6368804211381837E-3</v>
      </c>
      <c r="I493" s="60">
        <f t="shared" si="57"/>
        <v>0.81987417912559846</v>
      </c>
      <c r="J493" s="60">
        <f t="shared" si="53"/>
        <v>0.81858874510820279</v>
      </c>
    </row>
    <row r="494" spans="1:10" x14ac:dyDescent="0.3">
      <c r="A494" s="70">
        <f t="shared" si="54"/>
        <v>0.92</v>
      </c>
      <c r="B494" s="60">
        <v>0</v>
      </c>
      <c r="C494" s="70">
        <v>0.92</v>
      </c>
      <c r="D494" s="70">
        <v>1</v>
      </c>
      <c r="E494" s="71">
        <f t="shared" si="55"/>
        <v>-0.42320000000000002</v>
      </c>
      <c r="F494" s="72">
        <f t="shared" si="56"/>
        <v>0.26128630124955315</v>
      </c>
      <c r="G494" s="70">
        <f t="shared" si="52"/>
        <v>1.0000000000000009E-2</v>
      </c>
      <c r="H494" s="60">
        <f t="shared" si="51"/>
        <v>2.6128630124955337E-3</v>
      </c>
      <c r="I494" s="60">
        <f t="shared" si="57"/>
        <v>0.82248704213809398</v>
      </c>
      <c r="J494" s="60">
        <f t="shared" si="53"/>
        <v>0.82121362038562828</v>
      </c>
    </row>
    <row r="495" spans="1:10" x14ac:dyDescent="0.3">
      <c r="A495" s="70">
        <f t="shared" si="54"/>
        <v>0.93</v>
      </c>
      <c r="B495" s="60">
        <v>0</v>
      </c>
      <c r="C495" s="70">
        <v>0.93</v>
      </c>
      <c r="D495" s="70">
        <v>1</v>
      </c>
      <c r="E495" s="71">
        <f t="shared" si="55"/>
        <v>-0.43245000000000006</v>
      </c>
      <c r="F495" s="72">
        <f t="shared" si="56"/>
        <v>0.2588805467311488</v>
      </c>
      <c r="G495" s="70">
        <f t="shared" si="52"/>
        <v>9.9999999999998979E-3</v>
      </c>
      <c r="H495" s="60">
        <f t="shared" si="51"/>
        <v>2.5888054673114617E-3</v>
      </c>
      <c r="I495" s="60">
        <f t="shared" si="57"/>
        <v>0.82507584760540542</v>
      </c>
      <c r="J495" s="60">
        <f t="shared" si="53"/>
        <v>0.82381445775474216</v>
      </c>
    </row>
    <row r="496" spans="1:10" x14ac:dyDescent="0.3">
      <c r="A496" s="70">
        <f t="shared" si="54"/>
        <v>0.94</v>
      </c>
      <c r="B496" s="60">
        <v>0</v>
      </c>
      <c r="C496" s="70">
        <v>0.94</v>
      </c>
      <c r="D496" s="70">
        <v>1</v>
      </c>
      <c r="E496" s="71">
        <f t="shared" si="55"/>
        <v>-0.44179999999999997</v>
      </c>
      <c r="F496" s="72">
        <f t="shared" si="56"/>
        <v>0.25647129442562033</v>
      </c>
      <c r="G496" s="70">
        <f t="shared" si="52"/>
        <v>1.0000000000000009E-2</v>
      </c>
      <c r="H496" s="60">
        <f t="shared" si="51"/>
        <v>2.5647129442562056E-3</v>
      </c>
      <c r="I496" s="60">
        <f t="shared" si="57"/>
        <v>0.82764056054966162</v>
      </c>
      <c r="J496" s="60">
        <f t="shared" si="53"/>
        <v>0.82639121966137541</v>
      </c>
    </row>
    <row r="497" spans="1:12" x14ac:dyDescent="0.3">
      <c r="A497" s="70">
        <f t="shared" si="54"/>
        <v>0.95</v>
      </c>
      <c r="B497" s="60">
        <v>0</v>
      </c>
      <c r="C497" s="70">
        <v>0.95</v>
      </c>
      <c r="D497" s="70">
        <v>1</v>
      </c>
      <c r="E497" s="71">
        <f t="shared" si="55"/>
        <v>-0.45124999999999998</v>
      </c>
      <c r="F497" s="72">
        <f t="shared" si="56"/>
        <v>0.25405905646918903</v>
      </c>
      <c r="G497" s="70">
        <f t="shared" si="52"/>
        <v>1.0000000000000009E-2</v>
      </c>
      <c r="H497" s="60">
        <f t="shared" si="51"/>
        <v>2.5405905646918923E-3</v>
      </c>
      <c r="I497" s="60">
        <f t="shared" si="57"/>
        <v>0.83018115111435353</v>
      </c>
      <c r="J497" s="60">
        <f t="shared" si="53"/>
        <v>0.82894387369151812</v>
      </c>
    </row>
    <row r="498" spans="1:12" x14ac:dyDescent="0.3">
      <c r="A498" s="70">
        <f t="shared" si="54"/>
        <v>0.96</v>
      </c>
      <c r="B498" s="60">
        <v>0</v>
      </c>
      <c r="C498" s="70">
        <v>0.96</v>
      </c>
      <c r="D498" s="70">
        <v>1</v>
      </c>
      <c r="E498" s="71">
        <f t="shared" si="55"/>
        <v>-0.46079999999999999</v>
      </c>
      <c r="F498" s="72">
        <f t="shared" si="56"/>
        <v>0.25164434109811712</v>
      </c>
      <c r="G498" s="70">
        <f t="shared" si="52"/>
        <v>1.0000000000000009E-2</v>
      </c>
      <c r="H498" s="60">
        <f t="shared" si="51"/>
        <v>2.5164434109811733E-3</v>
      </c>
      <c r="I498" s="60">
        <f t="shared" si="57"/>
        <v>0.83269759452533476</v>
      </c>
      <c r="J498" s="60">
        <f t="shared" si="53"/>
        <v>0.83147239253316219</v>
      </c>
    </row>
    <row r="499" spans="1:12" x14ac:dyDescent="0.3">
      <c r="A499" s="70">
        <f t="shared" si="54"/>
        <v>0.97</v>
      </c>
      <c r="B499" s="60">
        <v>0</v>
      </c>
      <c r="C499" s="70">
        <v>0.97</v>
      </c>
      <c r="D499" s="70">
        <v>1</v>
      </c>
      <c r="E499" s="71">
        <f t="shared" si="55"/>
        <v>-0.47044999999999998</v>
      </c>
      <c r="F499" s="72">
        <f t="shared" si="56"/>
        <v>0.24922765248306594</v>
      </c>
      <c r="G499" s="70">
        <f t="shared" si="52"/>
        <v>1.0000000000000009E-2</v>
      </c>
      <c r="H499" s="60">
        <f t="shared" si="51"/>
        <v>2.4922765248306614E-3</v>
      </c>
      <c r="I499" s="60">
        <f t="shared" si="57"/>
        <v>0.8351898710501654</v>
      </c>
      <c r="J499" s="60">
        <f t="shared" si="53"/>
        <v>0.83397675393647042</v>
      </c>
    </row>
    <row r="500" spans="1:12" x14ac:dyDescent="0.3">
      <c r="A500" s="70">
        <f t="shared" si="54"/>
        <v>0.98</v>
      </c>
      <c r="B500" s="60">
        <v>0</v>
      </c>
      <c r="C500" s="70">
        <v>0.98</v>
      </c>
      <c r="D500" s="70">
        <v>1</v>
      </c>
      <c r="E500" s="71">
        <f t="shared" si="55"/>
        <v>-0.48019999999999996</v>
      </c>
      <c r="F500" s="72">
        <f t="shared" si="56"/>
        <v>0.24680949056704274</v>
      </c>
      <c r="G500" s="70">
        <f t="shared" si="52"/>
        <v>1.0000000000000009E-2</v>
      </c>
      <c r="H500" s="60">
        <f t="shared" si="51"/>
        <v>2.4680949056704294E-3</v>
      </c>
      <c r="I500" s="60">
        <f t="shared" si="57"/>
        <v>0.83765796595583586</v>
      </c>
      <c r="J500" s="60">
        <f t="shared" si="53"/>
        <v>0.83645694067230769</v>
      </c>
    </row>
    <row r="501" spans="1:12" x14ac:dyDescent="0.3">
      <c r="A501" s="70">
        <f t="shared" si="54"/>
        <v>0.99</v>
      </c>
      <c r="B501" s="60">
        <v>0</v>
      </c>
      <c r="C501" s="70">
        <v>0.99</v>
      </c>
      <c r="D501" s="70">
        <v>1</v>
      </c>
      <c r="E501" s="71">
        <f t="shared" si="55"/>
        <v>-0.49004999999999999</v>
      </c>
      <c r="F501" s="72">
        <f t="shared" si="56"/>
        <v>0.24439035090699956</v>
      </c>
      <c r="G501" s="70">
        <f t="shared" si="52"/>
        <v>1.0000000000000009E-2</v>
      </c>
      <c r="H501" s="60">
        <f t="shared" si="51"/>
        <v>2.4439035090699978E-3</v>
      </c>
      <c r="I501" s="60">
        <f t="shared" si="57"/>
        <v>0.84010186946490584</v>
      </c>
      <c r="J501" s="60">
        <f t="shared" si="53"/>
        <v>0.83891294048916909</v>
      </c>
    </row>
    <row r="502" spans="1:12" x14ac:dyDescent="0.3">
      <c r="A502" s="70">
        <f t="shared" si="54"/>
        <v>1</v>
      </c>
      <c r="B502" s="60">
        <v>0</v>
      </c>
      <c r="C502" s="70">
        <v>1</v>
      </c>
      <c r="D502" s="70">
        <v>1</v>
      </c>
      <c r="E502" s="71">
        <f t="shared" si="55"/>
        <v>-0.5</v>
      </c>
      <c r="F502" s="72">
        <f t="shared" si="56"/>
        <v>0.24197072451914337</v>
      </c>
      <c r="G502" s="70">
        <f t="shared" si="52"/>
        <v>1.0000000000000009E-2</v>
      </c>
      <c r="H502" s="60">
        <f t="shared" si="51"/>
        <v>2.4197072451914358E-3</v>
      </c>
      <c r="I502" s="60">
        <f t="shared" si="57"/>
        <v>0.84252157671009731</v>
      </c>
      <c r="J502" s="60">
        <f t="shared" si="53"/>
        <v>0.84134474606854304</v>
      </c>
      <c r="L502" s="73">
        <v>0.5</v>
      </c>
    </row>
    <row r="503" spans="1:12" x14ac:dyDescent="0.3">
      <c r="A503" s="70">
        <f t="shared" si="54"/>
        <v>1.01</v>
      </c>
      <c r="B503" s="60">
        <v>0</v>
      </c>
      <c r="C503" s="70">
        <v>1.01</v>
      </c>
      <c r="D503" s="70">
        <v>1</v>
      </c>
      <c r="E503" s="71">
        <f t="shared" si="55"/>
        <v>-0.51005</v>
      </c>
      <c r="F503" s="72">
        <f t="shared" si="56"/>
        <v>0.23955109772801336</v>
      </c>
      <c r="G503" s="70">
        <f t="shared" si="52"/>
        <v>1.0000000000000009E-2</v>
      </c>
      <c r="H503" s="60">
        <f t="shared" si="51"/>
        <v>2.3955109772801357E-3</v>
      </c>
      <c r="I503" s="60">
        <f t="shared" si="57"/>
        <v>0.8449170876873775</v>
      </c>
      <c r="J503" s="60">
        <f t="shared" si="53"/>
        <v>0.84375235497874546</v>
      </c>
      <c r="L503" s="73">
        <f>L502+J405</f>
        <v>1.0119664734141127</v>
      </c>
    </row>
    <row r="504" spans="1:12" x14ac:dyDescent="0.3">
      <c r="A504" s="70">
        <f t="shared" si="54"/>
        <v>1.02</v>
      </c>
      <c r="B504" s="60">
        <v>0</v>
      </c>
      <c r="C504" s="70">
        <v>1.02</v>
      </c>
      <c r="D504" s="70">
        <v>1</v>
      </c>
      <c r="E504" s="71">
        <f t="shared" si="55"/>
        <v>-0.5202</v>
      </c>
      <c r="F504" s="72">
        <f t="shared" si="56"/>
        <v>0.23713195201937959</v>
      </c>
      <c r="G504" s="70">
        <f t="shared" si="52"/>
        <v>1.0000000000000009E-2</v>
      </c>
      <c r="H504" s="60">
        <f t="shared" si="51"/>
        <v>2.371319520193798E-3</v>
      </c>
      <c r="I504" s="60">
        <f t="shared" si="57"/>
        <v>0.84728840720757126</v>
      </c>
      <c r="J504" s="60">
        <f t="shared" si="53"/>
        <v>0.84613576962726511</v>
      </c>
    </row>
    <row r="505" spans="1:12" x14ac:dyDescent="0.3">
      <c r="A505" s="70">
        <f t="shared" si="54"/>
        <v>1.03</v>
      </c>
      <c r="B505" s="60">
        <v>0</v>
      </c>
      <c r="C505" s="70">
        <v>1.03</v>
      </c>
      <c r="D505" s="70">
        <v>1</v>
      </c>
      <c r="E505" s="71">
        <f t="shared" si="55"/>
        <v>-0.53044999999999998</v>
      </c>
      <c r="F505" s="72">
        <f t="shared" si="56"/>
        <v>0.23471376389701182</v>
      </c>
      <c r="G505" s="70">
        <f t="shared" si="52"/>
        <v>1.0000000000000009E-2</v>
      </c>
      <c r="H505" s="60">
        <f t="shared" si="51"/>
        <v>2.3471376389701203E-3</v>
      </c>
      <c r="I505" s="60">
        <f t="shared" si="57"/>
        <v>0.84963554484654136</v>
      </c>
      <c r="J505" s="60">
        <f t="shared" si="53"/>
        <v>0.84849499721165633</v>
      </c>
    </row>
    <row r="506" spans="1:12" x14ac:dyDescent="0.3">
      <c r="A506" s="70">
        <f t="shared" si="54"/>
        <v>1.04</v>
      </c>
      <c r="B506" s="60">
        <v>0</v>
      </c>
      <c r="C506" s="70">
        <v>1.04</v>
      </c>
      <c r="D506" s="70">
        <v>1</v>
      </c>
      <c r="E506" s="71">
        <f t="shared" si="55"/>
        <v>-0.54080000000000006</v>
      </c>
      <c r="F506" s="72">
        <f t="shared" si="56"/>
        <v>0.2322970047433662</v>
      </c>
      <c r="G506" s="70">
        <f t="shared" si="52"/>
        <v>1.0000000000000009E-2</v>
      </c>
      <c r="H506" s="60">
        <f t="shared" si="51"/>
        <v>2.3229700474336639E-3</v>
      </c>
      <c r="I506" s="60">
        <f t="shared" si="57"/>
        <v>0.85195851489397501</v>
      </c>
      <c r="J506" s="60">
        <f t="shared" si="53"/>
        <v>0.85083004966901865</v>
      </c>
    </row>
    <row r="507" spans="1:12" x14ac:dyDescent="0.3">
      <c r="A507" s="70">
        <f t="shared" si="54"/>
        <v>1.05</v>
      </c>
      <c r="B507" s="60">
        <v>0</v>
      </c>
      <c r="C507" s="70">
        <v>1.05</v>
      </c>
      <c r="D507" s="70">
        <v>1</v>
      </c>
      <c r="E507" s="71">
        <f t="shared" si="55"/>
        <v>-0.55125000000000002</v>
      </c>
      <c r="F507" s="72">
        <f t="shared" si="56"/>
        <v>0.22988214068423302</v>
      </c>
      <c r="G507" s="70">
        <f t="shared" si="52"/>
        <v>1.0000000000000009E-2</v>
      </c>
      <c r="H507" s="60">
        <f t="shared" si="51"/>
        <v>2.2988214068423323E-3</v>
      </c>
      <c r="I507" s="60">
        <f t="shared" si="57"/>
        <v>0.85425733630081735</v>
      </c>
      <c r="J507" s="60">
        <f t="shared" si="53"/>
        <v>0.85314094362410409</v>
      </c>
    </row>
    <row r="508" spans="1:12" x14ac:dyDescent="0.3">
      <c r="A508" s="70">
        <f t="shared" si="54"/>
        <v>1.06</v>
      </c>
      <c r="B508" s="60">
        <v>0</v>
      </c>
      <c r="C508" s="70">
        <v>1.06</v>
      </c>
      <c r="D508" s="70">
        <v>1</v>
      </c>
      <c r="E508" s="71">
        <f t="shared" si="55"/>
        <v>-0.56180000000000008</v>
      </c>
      <c r="F508" s="72">
        <f t="shared" si="56"/>
        <v>0.22746963245738591</v>
      </c>
      <c r="G508" s="70">
        <f t="shared" si="52"/>
        <v>1.0000000000000009E-2</v>
      </c>
      <c r="H508" s="60">
        <f t="shared" si="51"/>
        <v>2.2746963245738609E-3</v>
      </c>
      <c r="I508" s="60">
        <f t="shared" si="57"/>
        <v>0.85653203262539124</v>
      </c>
      <c r="J508" s="60">
        <f t="shared" si="53"/>
        <v>0.85542770033609039</v>
      </c>
    </row>
    <row r="509" spans="1:12" x14ac:dyDescent="0.3">
      <c r="A509" s="70">
        <f t="shared" si="54"/>
        <v>1.07</v>
      </c>
      <c r="B509" s="60">
        <v>0</v>
      </c>
      <c r="C509" s="70">
        <v>1.07</v>
      </c>
      <c r="D509" s="70">
        <v>1</v>
      </c>
      <c r="E509" s="71">
        <f t="shared" si="55"/>
        <v>-0.57245000000000001</v>
      </c>
      <c r="F509" s="72">
        <f t="shared" si="56"/>
        <v>0.22505993528526966</v>
      </c>
      <c r="G509" s="70">
        <f t="shared" si="52"/>
        <v>1.0000000000000009E-2</v>
      </c>
      <c r="H509" s="60">
        <f t="shared" si="51"/>
        <v>2.2505993528526987E-3</v>
      </c>
      <c r="I509" s="60">
        <f t="shared" si="57"/>
        <v>0.85878263197824389</v>
      </c>
      <c r="J509" s="60">
        <f t="shared" si="53"/>
        <v>0.85769034564406077</v>
      </c>
    </row>
    <row r="510" spans="1:12" x14ac:dyDescent="0.3">
      <c r="A510" s="70">
        <f t="shared" si="54"/>
        <v>1.08</v>
      </c>
      <c r="B510" s="60">
        <v>0</v>
      </c>
      <c r="C510" s="70">
        <v>1.08</v>
      </c>
      <c r="D510" s="70">
        <v>1</v>
      </c>
      <c r="E510" s="71">
        <f t="shared" si="55"/>
        <v>-0.58320000000000005</v>
      </c>
      <c r="F510" s="72">
        <f t="shared" si="56"/>
        <v>0.22265349875176113</v>
      </c>
      <c r="G510" s="70">
        <f t="shared" si="52"/>
        <v>1.0000000000000009E-2</v>
      </c>
      <c r="H510" s="60">
        <f t="shared" si="51"/>
        <v>2.2265349875176133E-3</v>
      </c>
      <c r="I510" s="60">
        <f t="shared" si="57"/>
        <v>0.86100916696576146</v>
      </c>
      <c r="J510" s="60">
        <f t="shared" si="53"/>
        <v>0.85992890991123094</v>
      </c>
    </row>
    <row r="511" spans="1:12" x14ac:dyDescent="0.3">
      <c r="A511" s="70">
        <f t="shared" si="54"/>
        <v>1.0900000000000001</v>
      </c>
      <c r="B511" s="60">
        <v>0</v>
      </c>
      <c r="C511" s="70">
        <v>1.0900000000000001</v>
      </c>
      <c r="D511" s="70">
        <v>1</v>
      </c>
      <c r="E511" s="71">
        <f t="shared" si="55"/>
        <v>-0.59405000000000008</v>
      </c>
      <c r="F511" s="72">
        <f t="shared" si="56"/>
        <v>0.22025076668303326</v>
      </c>
      <c r="G511" s="70">
        <f t="shared" si="52"/>
        <v>1.0000000000000009E-2</v>
      </c>
      <c r="H511" s="60">
        <f t="shared" si="51"/>
        <v>2.2025076668303347E-3</v>
      </c>
      <c r="I511" s="60">
        <f t="shared" si="57"/>
        <v>0.86321167463259185</v>
      </c>
      <c r="J511" s="60">
        <f t="shared" si="53"/>
        <v>0.8621434279679645</v>
      </c>
    </row>
    <row r="512" spans="1:12" x14ac:dyDescent="0.3">
      <c r="A512" s="70">
        <f t="shared" si="54"/>
        <v>1.1000000000000001</v>
      </c>
      <c r="B512" s="60">
        <v>0</v>
      </c>
      <c r="C512" s="70">
        <v>1.1000000000000001</v>
      </c>
      <c r="D512" s="70">
        <v>1</v>
      </c>
      <c r="E512" s="71">
        <f t="shared" si="55"/>
        <v>-0.60500000000000009</v>
      </c>
      <c r="F512" s="72">
        <f t="shared" si="56"/>
        <v>0.21785217703255053</v>
      </c>
      <c r="G512" s="70">
        <f t="shared" si="52"/>
        <v>1.0000000000000009E-2</v>
      </c>
      <c r="H512" s="60">
        <f t="shared" ref="H512:H575" si="58">F512*G512</f>
        <v>2.178521770325507E-3</v>
      </c>
      <c r="I512" s="60">
        <f t="shared" si="57"/>
        <v>0.86539019640291737</v>
      </c>
      <c r="J512" s="60">
        <f t="shared" si="53"/>
        <v>0.86433393905361733</v>
      </c>
    </row>
    <row r="513" spans="1:10" x14ac:dyDescent="0.3">
      <c r="A513" s="70">
        <f t="shared" si="54"/>
        <v>1.1100000000000001</v>
      </c>
      <c r="B513" s="60">
        <v>0</v>
      </c>
      <c r="C513" s="70">
        <v>1.1100000000000001</v>
      </c>
      <c r="D513" s="70">
        <v>1</v>
      </c>
      <c r="E513" s="71">
        <f t="shared" si="55"/>
        <v>-0.6160500000000001</v>
      </c>
      <c r="F513" s="72">
        <f t="shared" si="56"/>
        <v>0.21545816177021967</v>
      </c>
      <c r="G513" s="70">
        <f t="shared" si="52"/>
        <v>1.0000000000000009E-2</v>
      </c>
      <c r="H513" s="60">
        <f t="shared" si="58"/>
        <v>2.1545816177021984E-3</v>
      </c>
      <c r="I513" s="60">
        <f t="shared" si="57"/>
        <v>0.86754477802061958</v>
      </c>
      <c r="J513" s="60">
        <f t="shared" si="53"/>
        <v>0.86650048675725277</v>
      </c>
    </row>
    <row r="514" spans="1:10" x14ac:dyDescent="0.3">
      <c r="A514" s="70">
        <f t="shared" si="54"/>
        <v>1.1200000000000001</v>
      </c>
      <c r="B514" s="60">
        <v>0</v>
      </c>
      <c r="C514" s="70">
        <v>1.1200000000000001</v>
      </c>
      <c r="D514" s="70">
        <v>1</v>
      </c>
      <c r="E514" s="71">
        <f t="shared" si="55"/>
        <v>-0.62720000000000009</v>
      </c>
      <c r="F514" s="72">
        <f t="shared" si="56"/>
        <v>0.21306914677571784</v>
      </c>
      <c r="G514" s="70">
        <f t="shared" ref="G514:G577" si="59">C515-C514</f>
        <v>9.9999999999997868E-3</v>
      </c>
      <c r="H514" s="60">
        <f t="shared" si="58"/>
        <v>2.130691467757133E-3</v>
      </c>
      <c r="I514" s="60">
        <f t="shared" si="57"/>
        <v>0.86967546948837671</v>
      </c>
      <c r="J514" s="60">
        <f t="shared" ref="J514:J577" si="60">NORMSDIST(C514)</f>
        <v>0.86864311895726931</v>
      </c>
    </row>
    <row r="515" spans="1:10" x14ac:dyDescent="0.3">
      <c r="A515" s="70">
        <f t="shared" ref="A515:A578" si="61">B515+C515</f>
        <v>1.1299999999999999</v>
      </c>
      <c r="B515" s="60">
        <v>0</v>
      </c>
      <c r="C515" s="70">
        <v>1.1299999999999999</v>
      </c>
      <c r="D515" s="70">
        <v>1</v>
      </c>
      <c r="E515" s="71">
        <f t="shared" ref="E515:E578" si="62">-(A515-B515)*(A515-B515)/2</f>
        <v>-0.63844999999999985</v>
      </c>
      <c r="F515" s="72">
        <f t="shared" ref="F515:F578" si="63">(1/SQRT(2*PI()))*(EXP(E515))</f>
        <v>0.21068555173601533</v>
      </c>
      <c r="G515" s="70">
        <f t="shared" si="59"/>
        <v>1.0000000000000009E-2</v>
      </c>
      <c r="H515" s="60">
        <f t="shared" si="58"/>
        <v>2.1068555173601551E-3</v>
      </c>
      <c r="I515" s="60">
        <f t="shared" si="57"/>
        <v>0.87178232500573682</v>
      </c>
      <c r="J515" s="60">
        <f t="shared" si="60"/>
        <v>0.8707618877599822</v>
      </c>
    </row>
    <row r="516" spans="1:10" x14ac:dyDescent="0.3">
      <c r="A516" s="70">
        <f t="shared" si="61"/>
        <v>1.1399999999999999</v>
      </c>
      <c r="B516" s="60">
        <v>0</v>
      </c>
      <c r="C516" s="70">
        <v>1.1399999999999999</v>
      </c>
      <c r="D516" s="70">
        <v>1</v>
      </c>
      <c r="E516" s="71">
        <f t="shared" si="62"/>
        <v>-0.64979999999999993</v>
      </c>
      <c r="F516" s="72">
        <f t="shared" si="63"/>
        <v>0.20830779004710837</v>
      </c>
      <c r="G516" s="70">
        <f t="shared" si="59"/>
        <v>1.0000000000000009E-2</v>
      </c>
      <c r="H516" s="60">
        <f t="shared" si="58"/>
        <v>2.0830779004710853E-3</v>
      </c>
      <c r="I516" s="60">
        <f t="shared" si="57"/>
        <v>0.87386540290620796</v>
      </c>
      <c r="J516" s="60">
        <f t="shared" si="60"/>
        <v>0.87285684943720176</v>
      </c>
    </row>
    <row r="517" spans="1:10" x14ac:dyDescent="0.3">
      <c r="A517" s="70">
        <f t="shared" si="61"/>
        <v>1.1499999999999999</v>
      </c>
      <c r="B517" s="60">
        <v>0</v>
      </c>
      <c r="C517" s="70">
        <v>1.1499999999999999</v>
      </c>
      <c r="D517" s="70">
        <v>1</v>
      </c>
      <c r="E517" s="71">
        <f t="shared" si="62"/>
        <v>-0.66124999999999989</v>
      </c>
      <c r="F517" s="72">
        <f t="shared" si="63"/>
        <v>0.20593626871997478</v>
      </c>
      <c r="G517" s="70">
        <f t="shared" si="59"/>
        <v>1.0000000000000009E-2</v>
      </c>
      <c r="H517" s="60">
        <f t="shared" si="58"/>
        <v>2.0593626871997497E-3</v>
      </c>
      <c r="I517" s="60">
        <f t="shared" si="57"/>
        <v>0.87592476559340771</v>
      </c>
      <c r="J517" s="60">
        <f t="shared" si="60"/>
        <v>0.87492806436284976</v>
      </c>
    </row>
    <row r="518" spans="1:10" x14ac:dyDescent="0.3">
      <c r="A518" s="70">
        <f t="shared" si="61"/>
        <v>1.1599999999999999</v>
      </c>
      <c r="B518" s="60">
        <v>0</v>
      </c>
      <c r="C518" s="70">
        <v>1.1599999999999999</v>
      </c>
      <c r="D518" s="70">
        <v>1</v>
      </c>
      <c r="E518" s="71">
        <f t="shared" si="62"/>
        <v>-0.67279999999999995</v>
      </c>
      <c r="F518" s="72">
        <f t="shared" si="63"/>
        <v>0.20357138829075944</v>
      </c>
      <c r="G518" s="70">
        <f t="shared" si="59"/>
        <v>1.0000000000000009E-2</v>
      </c>
      <c r="H518" s="60">
        <f t="shared" si="58"/>
        <v>2.0357138829075962E-3</v>
      </c>
      <c r="I518" s="60">
        <f t="shared" si="57"/>
        <v>0.87796047947631528</v>
      </c>
      <c r="J518" s="60">
        <f t="shared" si="60"/>
        <v>0.87697559694865657</v>
      </c>
    </row>
    <row r="519" spans="1:10" x14ac:dyDescent="0.3">
      <c r="A519" s="70">
        <f t="shared" si="61"/>
        <v>1.17</v>
      </c>
      <c r="B519" s="60">
        <v>0</v>
      </c>
      <c r="C519" s="70">
        <v>1.17</v>
      </c>
      <c r="D519" s="70">
        <v>1</v>
      </c>
      <c r="E519" s="71">
        <f t="shared" si="62"/>
        <v>-0.68444999999999989</v>
      </c>
      <c r="F519" s="72">
        <f t="shared" si="63"/>
        <v>0.2012135427351974</v>
      </c>
      <c r="G519" s="70">
        <f t="shared" si="59"/>
        <v>1.0000000000000009E-2</v>
      </c>
      <c r="H519" s="60">
        <f t="shared" si="58"/>
        <v>2.0121354273519758E-3</v>
      </c>
      <c r="I519" s="60">
        <f t="shared" si="57"/>
        <v>0.87997261490366729</v>
      </c>
      <c r="J519" s="60">
        <f t="shared" si="60"/>
        <v>0.87899951557898182</v>
      </c>
    </row>
    <row r="520" spans="1:10" x14ac:dyDescent="0.3">
      <c r="A520" s="70">
        <f t="shared" si="61"/>
        <v>1.18</v>
      </c>
      <c r="B520" s="60">
        <v>0</v>
      </c>
      <c r="C520" s="70">
        <v>1.18</v>
      </c>
      <c r="D520" s="70">
        <v>1</v>
      </c>
      <c r="E520" s="71">
        <f t="shared" si="62"/>
        <v>-0.69619999999999993</v>
      </c>
      <c r="F520" s="72">
        <f t="shared" si="63"/>
        <v>0.19886311938727591</v>
      </c>
      <c r="G520" s="70">
        <f t="shared" si="59"/>
        <v>1.0000000000000009E-2</v>
      </c>
      <c r="H520" s="60">
        <f t="shared" si="58"/>
        <v>1.988631193872761E-3</v>
      </c>
      <c r="I520" s="60">
        <f t="shared" si="57"/>
        <v>0.88196124609754001</v>
      </c>
      <c r="J520" s="60">
        <f t="shared" si="60"/>
        <v>0.88099989254479927</v>
      </c>
    </row>
    <row r="521" spans="1:10" x14ac:dyDescent="0.3">
      <c r="A521" s="70">
        <f t="shared" si="61"/>
        <v>1.19</v>
      </c>
      <c r="B521" s="60">
        <v>0</v>
      </c>
      <c r="C521" s="70">
        <v>1.19</v>
      </c>
      <c r="D521" s="70">
        <v>1</v>
      </c>
      <c r="E521" s="71">
        <f t="shared" si="62"/>
        <v>-0.70804999999999996</v>
      </c>
      <c r="F521" s="72">
        <f t="shared" si="63"/>
        <v>0.19652049886213654</v>
      </c>
      <c r="G521" s="70">
        <f t="shared" si="59"/>
        <v>1.0000000000000009E-2</v>
      </c>
      <c r="H521" s="60">
        <f t="shared" si="58"/>
        <v>1.9652049886213674E-3</v>
      </c>
      <c r="I521" s="60">
        <f t="shared" si="57"/>
        <v>0.88392645108616141</v>
      </c>
      <c r="J521" s="60">
        <f t="shared" si="60"/>
        <v>0.88297680397689138</v>
      </c>
    </row>
    <row r="522" spans="1:10" x14ac:dyDescent="0.3">
      <c r="A522" s="70">
        <f t="shared" si="61"/>
        <v>1.2</v>
      </c>
      <c r="B522" s="60">
        <v>0</v>
      </c>
      <c r="C522" s="70">
        <v>1.2</v>
      </c>
      <c r="D522" s="70">
        <v>1</v>
      </c>
      <c r="E522" s="71">
        <f t="shared" si="62"/>
        <v>-0.72</v>
      </c>
      <c r="F522" s="72">
        <f t="shared" si="63"/>
        <v>0.19418605498321295</v>
      </c>
      <c r="G522" s="70">
        <f t="shared" si="59"/>
        <v>1.0000000000000009E-2</v>
      </c>
      <c r="H522" s="60">
        <f t="shared" si="58"/>
        <v>1.9418605498321313E-3</v>
      </c>
      <c r="I522" s="60">
        <f t="shared" si="57"/>
        <v>0.88586831163599355</v>
      </c>
      <c r="J522" s="60">
        <f t="shared" si="60"/>
        <v>0.88493032977829178</v>
      </c>
    </row>
    <row r="523" spans="1:10" x14ac:dyDescent="0.3">
      <c r="A523" s="70">
        <f t="shared" si="61"/>
        <v>1.21</v>
      </c>
      <c r="B523" s="60">
        <v>0</v>
      </c>
      <c r="C523" s="70">
        <v>1.21</v>
      </c>
      <c r="D523" s="70">
        <v>1</v>
      </c>
      <c r="E523" s="71">
        <f t="shared" si="62"/>
        <v>-0.73204999999999998</v>
      </c>
      <c r="F523" s="72">
        <f t="shared" si="63"/>
        <v>0.19186015471359938</v>
      </c>
      <c r="G523" s="70">
        <f t="shared" si="59"/>
        <v>1.0000000000000009E-2</v>
      </c>
      <c r="H523" s="60">
        <f t="shared" si="58"/>
        <v>1.9186015471359954E-3</v>
      </c>
      <c r="I523" s="60">
        <f t="shared" si="57"/>
        <v>0.88778691318312952</v>
      </c>
      <c r="J523" s="60">
        <f t="shared" si="60"/>
        <v>0.88686055355602278</v>
      </c>
    </row>
    <row r="524" spans="1:10" x14ac:dyDescent="0.3">
      <c r="A524" s="70">
        <f t="shared" si="61"/>
        <v>1.22</v>
      </c>
      <c r="B524" s="60">
        <v>0</v>
      </c>
      <c r="C524" s="70">
        <v>1.22</v>
      </c>
      <c r="D524" s="70">
        <v>1</v>
      </c>
      <c r="E524" s="71">
        <f t="shared" si="62"/>
        <v>-0.74419999999999997</v>
      </c>
      <c r="F524" s="72">
        <f t="shared" si="63"/>
        <v>0.18954315809164024</v>
      </c>
      <c r="G524" s="70">
        <f t="shared" si="59"/>
        <v>1.0000000000000009E-2</v>
      </c>
      <c r="H524" s="60">
        <f t="shared" si="58"/>
        <v>1.8954315809164041E-3</v>
      </c>
      <c r="I524" s="60">
        <f t="shared" si="57"/>
        <v>0.88968234476404595</v>
      </c>
      <c r="J524" s="60">
        <f t="shared" si="60"/>
        <v>0.88876756255216538</v>
      </c>
    </row>
    <row r="525" spans="1:10" x14ac:dyDescent="0.3">
      <c r="A525" s="70">
        <f t="shared" si="61"/>
        <v>1.23</v>
      </c>
      <c r="B525" s="60">
        <v>0</v>
      </c>
      <c r="C525" s="70">
        <v>1.23</v>
      </c>
      <c r="D525" s="70">
        <v>1</v>
      </c>
      <c r="E525" s="71">
        <f t="shared" si="62"/>
        <v>-0.75644999999999996</v>
      </c>
      <c r="F525" s="72">
        <f t="shared" si="63"/>
        <v>0.18723541817072956</v>
      </c>
      <c r="G525" s="70">
        <f t="shared" si="59"/>
        <v>1.0000000000000009E-2</v>
      </c>
      <c r="H525" s="60">
        <f t="shared" si="58"/>
        <v>1.8723541817072973E-3</v>
      </c>
      <c r="I525" s="60">
        <f t="shared" si="57"/>
        <v>0.89155469894575323</v>
      </c>
      <c r="J525" s="60">
        <f t="shared" si="60"/>
        <v>0.89065144757430814</v>
      </c>
    </row>
    <row r="526" spans="1:10" x14ac:dyDescent="0.3">
      <c r="A526" s="70">
        <f t="shared" si="61"/>
        <v>1.24</v>
      </c>
      <c r="B526" s="60">
        <v>0</v>
      </c>
      <c r="C526" s="70">
        <v>1.24</v>
      </c>
      <c r="D526" s="70">
        <v>1</v>
      </c>
      <c r="E526" s="71">
        <f t="shared" si="62"/>
        <v>-0.76880000000000004</v>
      </c>
      <c r="F526" s="72">
        <f t="shared" si="63"/>
        <v>0.18493728096330531</v>
      </c>
      <c r="G526" s="70">
        <f t="shared" si="59"/>
        <v>1.0000000000000009E-2</v>
      </c>
      <c r="H526" s="60">
        <f t="shared" si="58"/>
        <v>1.8493728096330548E-3</v>
      </c>
      <c r="I526" s="60">
        <f t="shared" si="57"/>
        <v>0.89340407175538628</v>
      </c>
      <c r="J526" s="60">
        <f t="shared" si="60"/>
        <v>0.89251230292541306</v>
      </c>
    </row>
    <row r="527" spans="1:10" x14ac:dyDescent="0.3">
      <c r="A527" s="70">
        <f t="shared" si="61"/>
        <v>1.25</v>
      </c>
      <c r="B527" s="60">
        <v>0</v>
      </c>
      <c r="C527" s="70">
        <v>1.25</v>
      </c>
      <c r="D527" s="70">
        <v>1</v>
      </c>
      <c r="E527" s="71">
        <f t="shared" si="62"/>
        <v>-0.78125</v>
      </c>
      <c r="F527" s="72">
        <f t="shared" si="63"/>
        <v>0.18264908538902191</v>
      </c>
      <c r="G527" s="70">
        <f t="shared" si="59"/>
        <v>1.0000000000000009E-2</v>
      </c>
      <c r="H527" s="60">
        <f t="shared" si="58"/>
        <v>1.8264908538902207E-3</v>
      </c>
      <c r="I527" s="60">
        <f t="shared" si="57"/>
        <v>0.89523056260927647</v>
      </c>
      <c r="J527" s="60">
        <f t="shared" si="60"/>
        <v>0.89435022633314476</v>
      </c>
    </row>
    <row r="528" spans="1:10" x14ac:dyDescent="0.3">
      <c r="A528" s="70">
        <f t="shared" si="61"/>
        <v>1.26</v>
      </c>
      <c r="B528" s="60">
        <v>0</v>
      </c>
      <c r="C528" s="70">
        <v>1.26</v>
      </c>
      <c r="D528" s="70">
        <v>1</v>
      </c>
      <c r="E528" s="71">
        <f t="shared" si="62"/>
        <v>-0.79380000000000006</v>
      </c>
      <c r="F528" s="72">
        <f t="shared" si="63"/>
        <v>0.18037116322708033</v>
      </c>
      <c r="G528" s="70">
        <f t="shared" si="59"/>
        <v>1.0000000000000009E-2</v>
      </c>
      <c r="H528" s="60">
        <f t="shared" si="58"/>
        <v>1.8037116322708049E-3</v>
      </c>
      <c r="I528" s="60">
        <f t="shared" si="57"/>
        <v>0.89703427424154725</v>
      </c>
      <c r="J528" s="60">
        <f t="shared" si="60"/>
        <v>0.89616531887869966</v>
      </c>
    </row>
    <row r="529" spans="1:10" x14ac:dyDescent="0.3">
      <c r="A529" s="70">
        <f t="shared" si="61"/>
        <v>1.27</v>
      </c>
      <c r="B529" s="60">
        <v>0</v>
      </c>
      <c r="C529" s="70">
        <v>1.27</v>
      </c>
      <c r="D529" s="70">
        <v>1</v>
      </c>
      <c r="E529" s="71">
        <f t="shared" si="62"/>
        <v>-0.80645</v>
      </c>
      <c r="F529" s="72">
        <f t="shared" si="63"/>
        <v>0.17810383907269359</v>
      </c>
      <c r="G529" s="70">
        <f t="shared" si="59"/>
        <v>1.0000000000000009E-2</v>
      </c>
      <c r="H529" s="60">
        <f t="shared" si="58"/>
        <v>1.7810383907269375E-3</v>
      </c>
      <c r="I529" s="60">
        <f t="shared" si="57"/>
        <v>0.89881531263227421</v>
      </c>
      <c r="J529" s="60">
        <f t="shared" si="60"/>
        <v>0.89795768492518091</v>
      </c>
    </row>
    <row r="530" spans="1:10" x14ac:dyDescent="0.3">
      <c r="A530" s="70">
        <f t="shared" si="61"/>
        <v>1.28</v>
      </c>
      <c r="B530" s="60">
        <v>0</v>
      </c>
      <c r="C530" s="70">
        <v>1.28</v>
      </c>
      <c r="D530" s="70">
        <v>1</v>
      </c>
      <c r="E530" s="71">
        <f t="shared" si="62"/>
        <v>-0.81920000000000004</v>
      </c>
      <c r="F530" s="72">
        <f t="shared" si="63"/>
        <v>0.17584743029766237</v>
      </c>
      <c r="G530" s="70">
        <f t="shared" si="59"/>
        <v>1.0000000000000009E-2</v>
      </c>
      <c r="H530" s="60">
        <f t="shared" si="58"/>
        <v>1.7584743029766252E-3</v>
      </c>
      <c r="I530" s="60">
        <f t="shared" si="57"/>
        <v>0.90057378693525081</v>
      </c>
      <c r="J530" s="60">
        <f t="shared" si="60"/>
        <v>0.89972743204555794</v>
      </c>
    </row>
    <row r="531" spans="1:10" x14ac:dyDescent="0.3">
      <c r="A531" s="70">
        <f t="shared" si="61"/>
        <v>1.29</v>
      </c>
      <c r="B531" s="60">
        <v>0</v>
      </c>
      <c r="C531" s="70">
        <v>1.29</v>
      </c>
      <c r="D531" s="70">
        <v>1</v>
      </c>
      <c r="E531" s="71">
        <f t="shared" si="62"/>
        <v>-0.83205000000000007</v>
      </c>
      <c r="F531" s="72">
        <f t="shared" si="63"/>
        <v>0.17360224701503299</v>
      </c>
      <c r="G531" s="70">
        <f t="shared" si="59"/>
        <v>1.0000000000000009E-2</v>
      </c>
      <c r="H531" s="60">
        <f t="shared" si="58"/>
        <v>1.7360224701503315E-3</v>
      </c>
      <c r="I531" s="60">
        <f t="shared" ref="I531:I594" si="64">H531+I530</f>
        <v>0.90230980940540118</v>
      </c>
      <c r="J531" s="60">
        <f t="shared" si="60"/>
        <v>0.90147467095025213</v>
      </c>
    </row>
    <row r="532" spans="1:10" x14ac:dyDescent="0.3">
      <c r="A532" s="70">
        <f t="shared" si="61"/>
        <v>1.3</v>
      </c>
      <c r="B532" s="60">
        <v>0</v>
      </c>
      <c r="C532" s="70">
        <v>1.3</v>
      </c>
      <c r="D532" s="70">
        <v>1</v>
      </c>
      <c r="E532" s="71">
        <f t="shared" si="62"/>
        <v>-0.84500000000000008</v>
      </c>
      <c r="F532" s="72">
        <f t="shared" si="63"/>
        <v>0.17136859204780736</v>
      </c>
      <c r="G532" s="70">
        <f t="shared" si="59"/>
        <v>1.0000000000000009E-2</v>
      </c>
      <c r="H532" s="60">
        <f t="shared" si="58"/>
        <v>1.713685920478075E-3</v>
      </c>
      <c r="I532" s="60">
        <f t="shared" si="64"/>
        <v>0.90402349532587922</v>
      </c>
      <c r="J532" s="60">
        <f t="shared" si="60"/>
        <v>0.9031995154143897</v>
      </c>
    </row>
    <row r="533" spans="1:10" x14ac:dyDescent="0.3">
      <c r="A533" s="70">
        <f t="shared" si="61"/>
        <v>1.31</v>
      </c>
      <c r="B533" s="60">
        <v>0</v>
      </c>
      <c r="C533" s="70">
        <v>1.31</v>
      </c>
      <c r="D533" s="70">
        <v>1</v>
      </c>
      <c r="E533" s="71">
        <f t="shared" si="62"/>
        <v>-0.85805000000000009</v>
      </c>
      <c r="F533" s="72">
        <f t="shared" si="63"/>
        <v>0.16914676090167238</v>
      </c>
      <c r="G533" s="70">
        <f t="shared" si="59"/>
        <v>1.0000000000000009E-2</v>
      </c>
      <c r="H533" s="60">
        <f t="shared" si="58"/>
        <v>1.6914676090167254E-3</v>
      </c>
      <c r="I533" s="60">
        <f t="shared" si="64"/>
        <v>0.90571496293489595</v>
      </c>
      <c r="J533" s="60">
        <f t="shared" si="60"/>
        <v>0.90490208220476098</v>
      </c>
    </row>
    <row r="534" spans="1:10" x14ac:dyDescent="0.3">
      <c r="A534" s="70">
        <f t="shared" si="61"/>
        <v>1.32</v>
      </c>
      <c r="B534" s="60">
        <v>0</v>
      </c>
      <c r="C534" s="70">
        <v>1.32</v>
      </c>
      <c r="D534" s="70">
        <v>1</v>
      </c>
      <c r="E534" s="71">
        <f t="shared" si="62"/>
        <v>-0.87120000000000009</v>
      </c>
      <c r="F534" s="72">
        <f t="shared" si="63"/>
        <v>0.16693704174171381</v>
      </c>
      <c r="G534" s="70">
        <f t="shared" si="59"/>
        <v>1.0000000000000009E-2</v>
      </c>
      <c r="H534" s="60">
        <f t="shared" si="58"/>
        <v>1.6693704174171396E-3</v>
      </c>
      <c r="I534" s="60">
        <f t="shared" si="64"/>
        <v>0.90738433335231305</v>
      </c>
      <c r="J534" s="60">
        <f t="shared" si="60"/>
        <v>0.90658249100652821</v>
      </c>
    </row>
    <row r="535" spans="1:10" x14ac:dyDescent="0.3">
      <c r="A535" s="70">
        <f t="shared" si="61"/>
        <v>1.33</v>
      </c>
      <c r="B535" s="60">
        <v>0</v>
      </c>
      <c r="C535" s="70">
        <v>1.33</v>
      </c>
      <c r="D535" s="70">
        <v>1</v>
      </c>
      <c r="E535" s="71">
        <f t="shared" si="62"/>
        <v>-0.88445000000000007</v>
      </c>
      <c r="F535" s="72">
        <f t="shared" si="63"/>
        <v>0.1647397153730768</v>
      </c>
      <c r="G535" s="70">
        <f t="shared" si="59"/>
        <v>1.0000000000000009E-2</v>
      </c>
      <c r="H535" s="60">
        <f t="shared" si="58"/>
        <v>1.6473971537307695E-3</v>
      </c>
      <c r="I535" s="60">
        <f t="shared" si="64"/>
        <v>0.9090317305060438</v>
      </c>
      <c r="J535" s="60">
        <f t="shared" si="60"/>
        <v>0.90824086434971918</v>
      </c>
    </row>
    <row r="536" spans="1:10" x14ac:dyDescent="0.3">
      <c r="A536" s="70">
        <f t="shared" si="61"/>
        <v>1.34</v>
      </c>
      <c r="B536" s="60">
        <v>0</v>
      </c>
      <c r="C536" s="70">
        <v>1.34</v>
      </c>
      <c r="D536" s="70">
        <v>1</v>
      </c>
      <c r="E536" s="71">
        <f t="shared" si="62"/>
        <v>-0.89780000000000015</v>
      </c>
      <c r="F536" s="72">
        <f t="shared" si="63"/>
        <v>0.16255505522553412</v>
      </c>
      <c r="G536" s="70">
        <f t="shared" si="59"/>
        <v>1.0000000000000009E-2</v>
      </c>
      <c r="H536" s="60">
        <f t="shared" si="58"/>
        <v>1.6255505522553427E-3</v>
      </c>
      <c r="I536" s="60">
        <f t="shared" si="64"/>
        <v>0.91065728105829913</v>
      </c>
      <c r="J536" s="60">
        <f t="shared" si="60"/>
        <v>0.90987732753554751</v>
      </c>
    </row>
    <row r="537" spans="1:10" x14ac:dyDescent="0.3">
      <c r="A537" s="70">
        <f t="shared" si="61"/>
        <v>1.35</v>
      </c>
      <c r="B537" s="60">
        <v>0</v>
      </c>
      <c r="C537" s="70">
        <v>1.35</v>
      </c>
      <c r="D537" s="70">
        <v>1</v>
      </c>
      <c r="E537" s="71">
        <f t="shared" si="62"/>
        <v>-0.91125000000000012</v>
      </c>
      <c r="F537" s="72">
        <f t="shared" si="63"/>
        <v>0.1603833273419196</v>
      </c>
      <c r="G537" s="70">
        <f t="shared" si="59"/>
        <v>1.0000000000000009E-2</v>
      </c>
      <c r="H537" s="60">
        <f t="shared" si="58"/>
        <v>1.6038332734191975E-3</v>
      </c>
      <c r="I537" s="60">
        <f t="shared" si="64"/>
        <v>0.9122611143317183</v>
      </c>
      <c r="J537" s="60">
        <f t="shared" si="60"/>
        <v>0.91149200856259804</v>
      </c>
    </row>
    <row r="538" spans="1:10" x14ac:dyDescent="0.3">
      <c r="A538" s="70">
        <f t="shared" si="61"/>
        <v>1.36</v>
      </c>
      <c r="B538" s="60">
        <v>0</v>
      </c>
      <c r="C538" s="70">
        <v>1.36</v>
      </c>
      <c r="D538" s="70">
        <v>1</v>
      </c>
      <c r="E538" s="71">
        <f t="shared" si="62"/>
        <v>-0.92480000000000018</v>
      </c>
      <c r="F538" s="72">
        <f t="shared" si="63"/>
        <v>0.15822479037038303</v>
      </c>
      <c r="G538" s="70">
        <f t="shared" si="59"/>
        <v>1.0000000000000009E-2</v>
      </c>
      <c r="H538" s="60">
        <f t="shared" si="58"/>
        <v>1.5822479037038318E-3</v>
      </c>
      <c r="I538" s="60">
        <f t="shared" si="64"/>
        <v>0.91384336223542217</v>
      </c>
      <c r="J538" s="60">
        <f t="shared" si="60"/>
        <v>0.91308503805291497</v>
      </c>
    </row>
    <row r="539" spans="1:10" x14ac:dyDescent="0.3">
      <c r="A539" s="70">
        <f t="shared" si="61"/>
        <v>1.37</v>
      </c>
      <c r="B539" s="60">
        <v>0</v>
      </c>
      <c r="C539" s="70">
        <v>1.37</v>
      </c>
      <c r="D539" s="70">
        <v>1</v>
      </c>
      <c r="E539" s="71">
        <f t="shared" si="62"/>
        <v>-0.93845000000000012</v>
      </c>
      <c r="F539" s="72">
        <f t="shared" si="63"/>
        <v>0.15607969556042084</v>
      </c>
      <c r="G539" s="70">
        <f t="shared" si="59"/>
        <v>9.9999999999997868E-3</v>
      </c>
      <c r="H539" s="60">
        <f t="shared" si="58"/>
        <v>1.5607969556041751E-3</v>
      </c>
      <c r="I539" s="60">
        <f t="shared" si="64"/>
        <v>0.91540415919102636</v>
      </c>
      <c r="J539" s="60">
        <f t="shared" si="60"/>
        <v>0.91465654917803307</v>
      </c>
    </row>
    <row r="540" spans="1:10" x14ac:dyDescent="0.3">
      <c r="A540" s="70">
        <f t="shared" si="61"/>
        <v>1.38</v>
      </c>
      <c r="B540" s="60">
        <v>0</v>
      </c>
      <c r="C540" s="70">
        <v>1.38</v>
      </c>
      <c r="D540" s="70">
        <v>1</v>
      </c>
      <c r="E540" s="71">
        <f t="shared" si="62"/>
        <v>-0.95219999999999982</v>
      </c>
      <c r="F540" s="72">
        <f t="shared" si="63"/>
        <v>0.15394828676263372</v>
      </c>
      <c r="G540" s="70">
        <f t="shared" si="59"/>
        <v>1.0000000000000009E-2</v>
      </c>
      <c r="H540" s="60">
        <f t="shared" si="58"/>
        <v>1.5394828676263386E-3</v>
      </c>
      <c r="I540" s="60">
        <f t="shared" si="64"/>
        <v>0.91694364205865264</v>
      </c>
      <c r="J540" s="60">
        <f t="shared" si="60"/>
        <v>0.91620667758498575</v>
      </c>
    </row>
    <row r="541" spans="1:10" x14ac:dyDescent="0.3">
      <c r="A541" s="70">
        <f t="shared" si="61"/>
        <v>1.39</v>
      </c>
      <c r="B541" s="60">
        <v>0</v>
      </c>
      <c r="C541" s="70">
        <v>1.39</v>
      </c>
      <c r="D541" s="70">
        <v>1</v>
      </c>
      <c r="E541" s="71">
        <f t="shared" si="62"/>
        <v>-0.96604999999999985</v>
      </c>
      <c r="F541" s="72">
        <f t="shared" si="63"/>
        <v>0.15183080043216168</v>
      </c>
      <c r="G541" s="70">
        <f t="shared" si="59"/>
        <v>1.0000000000000009E-2</v>
      </c>
      <c r="H541" s="60">
        <f t="shared" si="58"/>
        <v>1.5183080043216183E-3</v>
      </c>
      <c r="I541" s="60">
        <f t="shared" si="64"/>
        <v>0.91846195006297426</v>
      </c>
      <c r="J541" s="60">
        <f t="shared" si="60"/>
        <v>0.91773556132233103</v>
      </c>
    </row>
    <row r="542" spans="1:10" x14ac:dyDescent="0.3">
      <c r="A542" s="70">
        <f t="shared" si="61"/>
        <v>1.4</v>
      </c>
      <c r="B542" s="60">
        <v>0</v>
      </c>
      <c r="C542" s="70">
        <v>1.4</v>
      </c>
      <c r="D542" s="70">
        <v>1</v>
      </c>
      <c r="E542" s="71">
        <f t="shared" si="62"/>
        <v>-0.97999999999999987</v>
      </c>
      <c r="F542" s="72">
        <f t="shared" si="63"/>
        <v>0.14972746563574488</v>
      </c>
      <c r="G542" s="70">
        <f t="shared" si="59"/>
        <v>1.0000000000000009E-2</v>
      </c>
      <c r="H542" s="60">
        <f t="shared" si="58"/>
        <v>1.4972746563574502E-3</v>
      </c>
      <c r="I542" s="60">
        <f t="shared" si="64"/>
        <v>0.91995922471933167</v>
      </c>
      <c r="J542" s="60">
        <f t="shared" si="60"/>
        <v>0.91924334076622893</v>
      </c>
    </row>
    <row r="543" spans="1:10" x14ac:dyDescent="0.3">
      <c r="A543" s="70">
        <f t="shared" si="61"/>
        <v>1.41</v>
      </c>
      <c r="B543" s="60">
        <v>0</v>
      </c>
      <c r="C543" s="70">
        <v>1.41</v>
      </c>
      <c r="D543" s="70">
        <v>1</v>
      </c>
      <c r="E543" s="71">
        <f t="shared" si="62"/>
        <v>-0.99404999999999988</v>
      </c>
      <c r="F543" s="72">
        <f t="shared" si="63"/>
        <v>0.14763850406235574</v>
      </c>
      <c r="G543" s="70">
        <f t="shared" si="59"/>
        <v>1.0000000000000009E-2</v>
      </c>
      <c r="H543" s="60">
        <f t="shared" si="58"/>
        <v>1.4763850406235588E-3</v>
      </c>
      <c r="I543" s="60">
        <f t="shared" si="64"/>
        <v>0.9214356097599552</v>
      </c>
      <c r="J543" s="60">
        <f t="shared" si="60"/>
        <v>0.92073015854660756</v>
      </c>
    </row>
    <row r="544" spans="1:10" x14ac:dyDescent="0.3">
      <c r="A544" s="70">
        <f t="shared" si="61"/>
        <v>1.42</v>
      </c>
      <c r="B544" s="60">
        <v>0</v>
      </c>
      <c r="C544" s="70">
        <v>1.42</v>
      </c>
      <c r="D544" s="70">
        <v>1</v>
      </c>
      <c r="E544" s="71">
        <f t="shared" si="62"/>
        <v>-1.0082</v>
      </c>
      <c r="F544" s="72">
        <f t="shared" si="63"/>
        <v>0.14556413003734761</v>
      </c>
      <c r="G544" s="70">
        <f t="shared" si="59"/>
        <v>1.0000000000000009E-2</v>
      </c>
      <c r="H544" s="60">
        <f t="shared" si="58"/>
        <v>1.4556413003734773E-3</v>
      </c>
      <c r="I544" s="60">
        <f t="shared" si="64"/>
        <v>0.92289125106032865</v>
      </c>
      <c r="J544" s="60">
        <f t="shared" si="60"/>
        <v>0.92219615947345368</v>
      </c>
    </row>
    <row r="545" spans="1:10" x14ac:dyDescent="0.3">
      <c r="A545" s="70">
        <f t="shared" si="61"/>
        <v>1.43</v>
      </c>
      <c r="B545" s="60">
        <v>0</v>
      </c>
      <c r="C545" s="70">
        <v>1.43</v>
      </c>
      <c r="D545" s="70">
        <v>1</v>
      </c>
      <c r="E545" s="71">
        <f t="shared" si="62"/>
        <v>-1.0224499999999999</v>
      </c>
      <c r="F545" s="72">
        <f t="shared" si="63"/>
        <v>0.14350455054006242</v>
      </c>
      <c r="G545" s="70">
        <f t="shared" si="59"/>
        <v>1.0000000000000009E-2</v>
      </c>
      <c r="H545" s="60">
        <f t="shared" si="58"/>
        <v>1.4350455054006255E-3</v>
      </c>
      <c r="I545" s="60">
        <f t="shared" si="64"/>
        <v>0.92432629656572929</v>
      </c>
      <c r="J545" s="60">
        <f t="shared" si="60"/>
        <v>0.92364149046326083</v>
      </c>
    </row>
    <row r="546" spans="1:10" x14ac:dyDescent="0.3">
      <c r="A546" s="70">
        <f t="shared" si="61"/>
        <v>1.44</v>
      </c>
      <c r="B546" s="60">
        <v>0</v>
      </c>
      <c r="C546" s="70">
        <v>1.44</v>
      </c>
      <c r="D546" s="70">
        <v>1</v>
      </c>
      <c r="E546" s="71">
        <f t="shared" si="62"/>
        <v>-1.0367999999999999</v>
      </c>
      <c r="F546" s="72">
        <f t="shared" si="63"/>
        <v>0.14145996522483878</v>
      </c>
      <c r="G546" s="70">
        <f t="shared" si="59"/>
        <v>1.0000000000000009E-2</v>
      </c>
      <c r="H546" s="60">
        <f t="shared" si="58"/>
        <v>1.4145996522483891E-3</v>
      </c>
      <c r="I546" s="60">
        <f t="shared" si="64"/>
        <v>0.92574089621797773</v>
      </c>
      <c r="J546" s="60">
        <f t="shared" si="60"/>
        <v>0.92506630046567295</v>
      </c>
    </row>
    <row r="547" spans="1:10" x14ac:dyDescent="0.3">
      <c r="A547" s="70">
        <f t="shared" si="61"/>
        <v>1.45</v>
      </c>
      <c r="B547" s="60">
        <v>0</v>
      </c>
      <c r="C547" s="70">
        <v>1.45</v>
      </c>
      <c r="D547" s="70">
        <v>1</v>
      </c>
      <c r="E547" s="71">
        <f t="shared" si="62"/>
        <v>-1.05125</v>
      </c>
      <c r="F547" s="72">
        <f t="shared" si="63"/>
        <v>0.13943056644536028</v>
      </c>
      <c r="G547" s="70">
        <f t="shared" si="59"/>
        <v>1.0000000000000009E-2</v>
      </c>
      <c r="H547" s="60">
        <f t="shared" si="58"/>
        <v>1.3943056644536041E-3</v>
      </c>
      <c r="I547" s="60">
        <f t="shared" si="64"/>
        <v>0.92713520188243137</v>
      </c>
      <c r="J547" s="60">
        <f t="shared" si="60"/>
        <v>0.9264707403903516</v>
      </c>
    </row>
    <row r="548" spans="1:10" x14ac:dyDescent="0.3">
      <c r="A548" s="70">
        <f t="shared" si="61"/>
        <v>1.46</v>
      </c>
      <c r="B548" s="60">
        <v>0</v>
      </c>
      <c r="C548" s="70">
        <v>1.46</v>
      </c>
      <c r="D548" s="70">
        <v>1</v>
      </c>
      <c r="E548" s="71">
        <f t="shared" si="62"/>
        <v>-1.0657999999999999</v>
      </c>
      <c r="F548" s="72">
        <f t="shared" si="63"/>
        <v>0.13741653928228179</v>
      </c>
      <c r="G548" s="70">
        <f t="shared" si="59"/>
        <v>1.0000000000000009E-2</v>
      </c>
      <c r="H548" s="60">
        <f t="shared" si="58"/>
        <v>1.3741653928228191E-3</v>
      </c>
      <c r="I548" s="60">
        <f t="shared" si="64"/>
        <v>0.92850936727525424</v>
      </c>
      <c r="J548" s="60">
        <f t="shared" si="60"/>
        <v>0.92785496303410619</v>
      </c>
    </row>
    <row r="549" spans="1:10" x14ac:dyDescent="0.3">
      <c r="A549" s="70">
        <f t="shared" si="61"/>
        <v>1.47</v>
      </c>
      <c r="B549" s="60">
        <v>0</v>
      </c>
      <c r="C549" s="70">
        <v>1.47</v>
      </c>
      <c r="D549" s="70">
        <v>1</v>
      </c>
      <c r="E549" s="71">
        <f t="shared" si="62"/>
        <v>-1.0804499999999999</v>
      </c>
      <c r="F549" s="72">
        <f t="shared" si="63"/>
        <v>0.1354180615740713</v>
      </c>
      <c r="G549" s="70">
        <f t="shared" si="59"/>
        <v>1.0000000000000009E-2</v>
      </c>
      <c r="H549" s="60">
        <f t="shared" si="58"/>
        <v>1.3541806157407142E-3</v>
      </c>
      <c r="I549" s="60">
        <f t="shared" si="64"/>
        <v>0.9298635478909949</v>
      </c>
      <c r="J549" s="60">
        <f t="shared" si="60"/>
        <v>0.92921912300831444</v>
      </c>
    </row>
    <row r="550" spans="1:10" x14ac:dyDescent="0.3">
      <c r="A550" s="70">
        <f t="shared" si="61"/>
        <v>1.48</v>
      </c>
      <c r="B550" s="60">
        <v>0</v>
      </c>
      <c r="C550" s="70">
        <v>1.48</v>
      </c>
      <c r="D550" s="70">
        <v>1</v>
      </c>
      <c r="E550" s="71">
        <f t="shared" si="62"/>
        <v>-1.0952</v>
      </c>
      <c r="F550" s="72">
        <f t="shared" si="63"/>
        <v>0.13343530395100231</v>
      </c>
      <c r="G550" s="70">
        <f t="shared" si="59"/>
        <v>1.0000000000000009E-2</v>
      </c>
      <c r="H550" s="60">
        <f t="shared" si="58"/>
        <v>1.3343530395100243E-3</v>
      </c>
      <c r="I550" s="60">
        <f t="shared" si="64"/>
        <v>0.93119790093050492</v>
      </c>
      <c r="J550" s="60">
        <f t="shared" si="60"/>
        <v>0.93056337666666833</v>
      </c>
    </row>
    <row r="551" spans="1:10" x14ac:dyDescent="0.3">
      <c r="A551" s="70">
        <f t="shared" si="61"/>
        <v>1.49</v>
      </c>
      <c r="B551" s="60">
        <v>0</v>
      </c>
      <c r="C551" s="70">
        <v>1.49</v>
      </c>
      <c r="D551" s="70">
        <v>1</v>
      </c>
      <c r="E551" s="71">
        <f t="shared" si="62"/>
        <v>-1.11005</v>
      </c>
      <c r="F551" s="72">
        <f t="shared" si="63"/>
        <v>0.13146842987223104</v>
      </c>
      <c r="G551" s="70">
        <f t="shared" si="59"/>
        <v>1.0000000000000009E-2</v>
      </c>
      <c r="H551" s="60">
        <f t="shared" si="58"/>
        <v>1.3146842987223114E-3</v>
      </c>
      <c r="I551" s="60">
        <f t="shared" si="64"/>
        <v>0.9325125852292272</v>
      </c>
      <c r="J551" s="60">
        <f t="shared" si="60"/>
        <v>0.93188788203327455</v>
      </c>
    </row>
    <row r="552" spans="1:10" x14ac:dyDescent="0.3">
      <c r="A552" s="70">
        <f t="shared" si="61"/>
        <v>1.5</v>
      </c>
      <c r="B552" s="60">
        <v>0</v>
      </c>
      <c r="C552" s="70">
        <v>1.5</v>
      </c>
      <c r="D552" s="70">
        <v>1</v>
      </c>
      <c r="E552" s="71">
        <f t="shared" si="62"/>
        <v>-1.125</v>
      </c>
      <c r="F552" s="72">
        <f t="shared" si="63"/>
        <v>0.12951759566589174</v>
      </c>
      <c r="G552" s="70">
        <f t="shared" si="59"/>
        <v>1.0000000000000009E-2</v>
      </c>
      <c r="H552" s="60">
        <f t="shared" si="58"/>
        <v>1.2951759566589185E-3</v>
      </c>
      <c r="I552" s="60">
        <f t="shared" si="64"/>
        <v>0.93380776118588615</v>
      </c>
      <c r="J552" s="60">
        <f t="shared" si="60"/>
        <v>0.93319279873114191</v>
      </c>
    </row>
    <row r="553" spans="1:10" x14ac:dyDescent="0.3">
      <c r="A553" s="70">
        <f t="shared" si="61"/>
        <v>1.51</v>
      </c>
      <c r="B553" s="60">
        <v>0</v>
      </c>
      <c r="C553" s="70">
        <v>1.51</v>
      </c>
      <c r="D553" s="70">
        <v>1</v>
      </c>
      <c r="E553" s="71">
        <f t="shared" si="62"/>
        <v>-1.14005</v>
      </c>
      <c r="F553" s="72">
        <f t="shared" si="63"/>
        <v>0.12758295057214186</v>
      </c>
      <c r="G553" s="70">
        <f t="shared" si="59"/>
        <v>1.0000000000000009E-2</v>
      </c>
      <c r="H553" s="60">
        <f t="shared" si="58"/>
        <v>1.2758295057214198E-3</v>
      </c>
      <c r="I553" s="60">
        <f t="shared" si="64"/>
        <v>0.93508359069160762</v>
      </c>
      <c r="J553" s="60">
        <f t="shared" si="60"/>
        <v>0.93447828791108356</v>
      </c>
    </row>
    <row r="554" spans="1:10" x14ac:dyDescent="0.3">
      <c r="A554" s="70">
        <f t="shared" si="61"/>
        <v>1.52</v>
      </c>
      <c r="B554" s="60">
        <v>0</v>
      </c>
      <c r="C554" s="70">
        <v>1.52</v>
      </c>
      <c r="D554" s="70">
        <v>1</v>
      </c>
      <c r="E554" s="71">
        <f t="shared" si="62"/>
        <v>-1.1552</v>
      </c>
      <c r="F554" s="72">
        <f t="shared" si="63"/>
        <v>0.12566463678908815</v>
      </c>
      <c r="G554" s="70">
        <f t="shared" si="59"/>
        <v>1.0000000000000009E-2</v>
      </c>
      <c r="H554" s="60">
        <f t="shared" si="58"/>
        <v>1.2566463678908826E-3</v>
      </c>
      <c r="I554" s="60">
        <f t="shared" si="64"/>
        <v>0.93634023705949854</v>
      </c>
      <c r="J554" s="60">
        <f t="shared" si="60"/>
        <v>0.93574451218106425</v>
      </c>
    </row>
    <row r="555" spans="1:10" x14ac:dyDescent="0.3">
      <c r="A555" s="70">
        <f t="shared" si="61"/>
        <v>1.53</v>
      </c>
      <c r="B555" s="60">
        <v>0</v>
      </c>
      <c r="C555" s="70">
        <v>1.53</v>
      </c>
      <c r="D555" s="70">
        <v>1</v>
      </c>
      <c r="E555" s="71">
        <f t="shared" si="62"/>
        <v>-1.17045</v>
      </c>
      <c r="F555" s="72">
        <f t="shared" si="63"/>
        <v>0.12376278952152313</v>
      </c>
      <c r="G555" s="70">
        <f t="shared" si="59"/>
        <v>1.0000000000000009E-2</v>
      </c>
      <c r="H555" s="60">
        <f t="shared" si="58"/>
        <v>1.2376278952152323E-3</v>
      </c>
      <c r="I555" s="60">
        <f t="shared" si="64"/>
        <v>0.93757786495471374</v>
      </c>
      <c r="J555" s="60">
        <f t="shared" si="60"/>
        <v>0.93699163553602161</v>
      </c>
    </row>
    <row r="556" spans="1:10" x14ac:dyDescent="0.3">
      <c r="A556" s="70">
        <f t="shared" si="61"/>
        <v>1.54</v>
      </c>
      <c r="B556" s="60">
        <v>0</v>
      </c>
      <c r="C556" s="70">
        <v>1.54</v>
      </c>
      <c r="D556" s="70">
        <v>1</v>
      </c>
      <c r="E556" s="71">
        <f t="shared" si="62"/>
        <v>-1.1858</v>
      </c>
      <c r="F556" s="72">
        <f t="shared" si="63"/>
        <v>0.12187753703240178</v>
      </c>
      <c r="G556" s="70">
        <f t="shared" si="59"/>
        <v>1.0000000000000009E-2</v>
      </c>
      <c r="H556" s="60">
        <f t="shared" si="58"/>
        <v>1.2187753703240189E-3</v>
      </c>
      <c r="I556" s="60">
        <f t="shared" si="64"/>
        <v>0.93879664032503773</v>
      </c>
      <c r="J556" s="60">
        <f t="shared" si="60"/>
        <v>0.93821982328818809</v>
      </c>
    </row>
    <row r="557" spans="1:10" x14ac:dyDescent="0.3">
      <c r="A557" s="70">
        <f t="shared" si="61"/>
        <v>1.55</v>
      </c>
      <c r="B557" s="60">
        <v>0</v>
      </c>
      <c r="C557" s="70">
        <v>1.55</v>
      </c>
      <c r="D557" s="70">
        <v>1</v>
      </c>
      <c r="E557" s="71">
        <f t="shared" si="62"/>
        <v>-1.2012500000000002</v>
      </c>
      <c r="F557" s="72">
        <f t="shared" si="63"/>
        <v>0.12000900069698558</v>
      </c>
      <c r="G557" s="70">
        <f t="shared" si="59"/>
        <v>1.0000000000000009E-2</v>
      </c>
      <c r="H557" s="60">
        <f t="shared" si="58"/>
        <v>1.200090006969857E-3</v>
      </c>
      <c r="I557" s="60">
        <f t="shared" si="64"/>
        <v>0.93999673033200759</v>
      </c>
      <c r="J557" s="60">
        <f t="shared" si="60"/>
        <v>0.93942924199794098</v>
      </c>
    </row>
    <row r="558" spans="1:10" x14ac:dyDescent="0.3">
      <c r="A558" s="70">
        <f t="shared" si="61"/>
        <v>1.56</v>
      </c>
      <c r="B558" s="60">
        <v>0</v>
      </c>
      <c r="C558" s="70">
        <v>1.56</v>
      </c>
      <c r="D558" s="70">
        <v>1</v>
      </c>
      <c r="E558" s="71">
        <f t="shared" si="62"/>
        <v>-1.2168000000000001</v>
      </c>
      <c r="F558" s="72">
        <f t="shared" si="63"/>
        <v>0.11815729505958227</v>
      </c>
      <c r="G558" s="70">
        <f t="shared" si="59"/>
        <v>1.0000000000000009E-2</v>
      </c>
      <c r="H558" s="60">
        <f t="shared" si="58"/>
        <v>1.1815729505958237E-3</v>
      </c>
      <c r="I558" s="60">
        <f t="shared" si="64"/>
        <v>0.94117830328260343</v>
      </c>
      <c r="J558" s="60">
        <f t="shared" si="60"/>
        <v>0.94062005940520699</v>
      </c>
    </row>
    <row r="559" spans="1:10" x14ac:dyDescent="0.3">
      <c r="A559" s="70">
        <f t="shared" si="61"/>
        <v>1.57</v>
      </c>
      <c r="B559" s="60">
        <v>0</v>
      </c>
      <c r="C559" s="70">
        <v>1.57</v>
      </c>
      <c r="D559" s="70">
        <v>1</v>
      </c>
      <c r="E559" s="71">
        <f t="shared" si="62"/>
        <v>-1.23245</v>
      </c>
      <c r="F559" s="72">
        <f t="shared" si="63"/>
        <v>0.11632252789280709</v>
      </c>
      <c r="G559" s="70">
        <f t="shared" si="59"/>
        <v>1.0000000000000009E-2</v>
      </c>
      <c r="H559" s="60">
        <f t="shared" si="58"/>
        <v>1.163225278928072E-3</v>
      </c>
      <c r="I559" s="60">
        <f t="shared" si="64"/>
        <v>0.94234152856153153</v>
      </c>
      <c r="J559" s="60">
        <f t="shared" si="60"/>
        <v>0.94179244436144693</v>
      </c>
    </row>
    <row r="560" spans="1:10" x14ac:dyDescent="0.3">
      <c r="A560" s="70">
        <f t="shared" si="61"/>
        <v>1.58</v>
      </c>
      <c r="B560" s="60">
        <v>0</v>
      </c>
      <c r="C560" s="70">
        <v>1.58</v>
      </c>
      <c r="D560" s="70">
        <v>1</v>
      </c>
      <c r="E560" s="71">
        <f t="shared" si="62"/>
        <v>-1.2482000000000002</v>
      </c>
      <c r="F560" s="72">
        <f t="shared" si="63"/>
        <v>0.11450480025929236</v>
      </c>
      <c r="G560" s="70">
        <f t="shared" si="59"/>
        <v>1.0000000000000009E-2</v>
      </c>
      <c r="H560" s="60">
        <f t="shared" si="58"/>
        <v>1.1450480025929246E-3</v>
      </c>
      <c r="I560" s="60">
        <f t="shared" si="64"/>
        <v>0.94348657656412449</v>
      </c>
      <c r="J560" s="60">
        <f t="shared" si="60"/>
        <v>0.94294656676224586</v>
      </c>
    </row>
    <row r="561" spans="1:10" x14ac:dyDescent="0.3">
      <c r="A561" s="70">
        <f t="shared" si="61"/>
        <v>1.59</v>
      </c>
      <c r="B561" s="60">
        <v>0</v>
      </c>
      <c r="C561" s="70">
        <v>1.59</v>
      </c>
      <c r="D561" s="70">
        <v>1</v>
      </c>
      <c r="E561" s="71">
        <f t="shared" si="62"/>
        <v>-1.2640500000000001</v>
      </c>
      <c r="F561" s="72">
        <f t="shared" si="63"/>
        <v>0.11270420657577056</v>
      </c>
      <c r="G561" s="70">
        <f t="shared" si="59"/>
        <v>1.0000000000000009E-2</v>
      </c>
      <c r="H561" s="60">
        <f t="shared" si="58"/>
        <v>1.1270420657577065E-3</v>
      </c>
      <c r="I561" s="60">
        <f t="shared" si="64"/>
        <v>0.94461361862988225</v>
      </c>
      <c r="J561" s="60">
        <f t="shared" si="60"/>
        <v>0.94408259748053058</v>
      </c>
    </row>
    <row r="562" spans="1:10" x14ac:dyDescent="0.3">
      <c r="A562" s="70">
        <f t="shared" si="61"/>
        <v>1.6</v>
      </c>
      <c r="B562" s="60">
        <v>0</v>
      </c>
      <c r="C562" s="70">
        <v>1.6</v>
      </c>
      <c r="D562" s="70">
        <v>1</v>
      </c>
      <c r="E562" s="71">
        <f t="shared" si="62"/>
        <v>-1.2800000000000002</v>
      </c>
      <c r="F562" s="72">
        <f t="shared" si="63"/>
        <v>0.11092083467945554</v>
      </c>
      <c r="G562" s="70">
        <f t="shared" si="59"/>
        <v>1.0000000000000009E-2</v>
      </c>
      <c r="H562" s="60">
        <f t="shared" si="58"/>
        <v>1.1092083467945564E-3</v>
      </c>
      <c r="I562" s="60">
        <f t="shared" si="64"/>
        <v>0.94572282697667676</v>
      </c>
      <c r="J562" s="60">
        <f t="shared" si="60"/>
        <v>0.94520070830044201</v>
      </c>
    </row>
    <row r="563" spans="1:10" x14ac:dyDescent="0.3">
      <c r="A563" s="70">
        <f t="shared" si="61"/>
        <v>1.61</v>
      </c>
      <c r="B563" s="60">
        <v>0</v>
      </c>
      <c r="C563" s="70">
        <v>1.61</v>
      </c>
      <c r="D563" s="70">
        <v>1</v>
      </c>
      <c r="E563" s="71">
        <f t="shared" si="62"/>
        <v>-1.2960500000000001</v>
      </c>
      <c r="F563" s="72">
        <f t="shared" si="63"/>
        <v>0.10915476589664735</v>
      </c>
      <c r="G563" s="70">
        <f t="shared" si="59"/>
        <v>1.0000000000000009E-2</v>
      </c>
      <c r="H563" s="60">
        <f t="shared" si="58"/>
        <v>1.0915476589664745E-3</v>
      </c>
      <c r="I563" s="60">
        <f t="shared" si="64"/>
        <v>0.94681437463564322</v>
      </c>
      <c r="J563" s="60">
        <f t="shared" si="60"/>
        <v>0.94630107185188028</v>
      </c>
    </row>
    <row r="564" spans="1:10" x14ac:dyDescent="0.3">
      <c r="A564" s="70">
        <f t="shared" si="61"/>
        <v>1.62</v>
      </c>
      <c r="B564" s="60">
        <v>0</v>
      </c>
      <c r="C564" s="70">
        <v>1.62</v>
      </c>
      <c r="D564" s="70">
        <v>1</v>
      </c>
      <c r="E564" s="71">
        <f t="shared" si="62"/>
        <v>-1.3122000000000003</v>
      </c>
      <c r="F564" s="72">
        <f t="shared" si="63"/>
        <v>0.1074060751134838</v>
      </c>
      <c r="G564" s="70">
        <f t="shared" si="59"/>
        <v>9.9999999999997868E-3</v>
      </c>
      <c r="H564" s="60">
        <f t="shared" si="58"/>
        <v>1.0740607511348151E-3</v>
      </c>
      <c r="I564" s="60">
        <f t="shared" si="64"/>
        <v>0.94788843538677803</v>
      </c>
      <c r="J564" s="60">
        <f t="shared" si="60"/>
        <v>0.94738386154574794</v>
      </c>
    </row>
    <row r="565" spans="1:10" x14ac:dyDescent="0.3">
      <c r="A565" s="70">
        <f t="shared" si="61"/>
        <v>1.63</v>
      </c>
      <c r="B565" s="60">
        <v>0</v>
      </c>
      <c r="C565" s="70">
        <v>1.63</v>
      </c>
      <c r="D565" s="70">
        <v>1</v>
      </c>
      <c r="E565" s="71">
        <f t="shared" si="62"/>
        <v>-1.3284499999999999</v>
      </c>
      <c r="F565" s="72">
        <f t="shared" si="63"/>
        <v>0.10567483084876363</v>
      </c>
      <c r="G565" s="70">
        <f t="shared" si="59"/>
        <v>1.0000000000000009E-2</v>
      </c>
      <c r="H565" s="60">
        <f t="shared" si="58"/>
        <v>1.0567483084876373E-3</v>
      </c>
      <c r="I565" s="60">
        <f t="shared" si="64"/>
        <v>0.9489451836952657</v>
      </c>
      <c r="J565" s="60">
        <f t="shared" si="60"/>
        <v>0.94844925150991066</v>
      </c>
    </row>
    <row r="566" spans="1:10" x14ac:dyDescent="0.3">
      <c r="A566" s="70">
        <f t="shared" si="61"/>
        <v>1.64</v>
      </c>
      <c r="B566" s="60">
        <v>0</v>
      </c>
      <c r="C566" s="70">
        <v>1.64</v>
      </c>
      <c r="D566" s="70">
        <v>1</v>
      </c>
      <c r="E566" s="71">
        <f t="shared" si="62"/>
        <v>-1.3447999999999998</v>
      </c>
      <c r="F566" s="72">
        <f t="shared" si="63"/>
        <v>0.10396109532876423</v>
      </c>
      <c r="G566" s="70">
        <f t="shared" si="59"/>
        <v>1.0000000000000009E-2</v>
      </c>
      <c r="H566" s="60">
        <f t="shared" si="58"/>
        <v>1.0396109532876431E-3</v>
      </c>
      <c r="I566" s="60">
        <f t="shared" si="64"/>
        <v>0.94998479464855334</v>
      </c>
      <c r="J566" s="60">
        <f t="shared" si="60"/>
        <v>0.94949741652589625</v>
      </c>
    </row>
    <row r="567" spans="1:10" x14ac:dyDescent="0.3">
      <c r="A567" s="70">
        <f t="shared" si="61"/>
        <v>1.65</v>
      </c>
      <c r="B567" s="60">
        <v>0</v>
      </c>
      <c r="C567" s="70">
        <v>1.65</v>
      </c>
      <c r="D567" s="70">
        <v>1</v>
      </c>
      <c r="E567" s="71">
        <f t="shared" si="62"/>
        <v>-1.3612499999999998</v>
      </c>
      <c r="F567" s="72">
        <f t="shared" si="63"/>
        <v>0.10226492456397804</v>
      </c>
      <c r="G567" s="70">
        <f t="shared" si="59"/>
        <v>1.0000000000000009E-2</v>
      </c>
      <c r="H567" s="60">
        <f t="shared" si="58"/>
        <v>1.0226492456397813E-3</v>
      </c>
      <c r="I567" s="60">
        <f t="shared" si="64"/>
        <v>0.95100744389419312</v>
      </c>
      <c r="J567" s="60">
        <f t="shared" si="60"/>
        <v>0.9505285319663519</v>
      </c>
    </row>
    <row r="568" spans="1:10" x14ac:dyDescent="0.3">
      <c r="A568" s="70">
        <f t="shared" si="61"/>
        <v>1.66</v>
      </c>
      <c r="B568" s="60">
        <v>0</v>
      </c>
      <c r="C568" s="70">
        <v>1.66</v>
      </c>
      <c r="D568" s="70">
        <v>1</v>
      </c>
      <c r="E568" s="71">
        <f t="shared" si="62"/>
        <v>-1.3777999999999999</v>
      </c>
      <c r="F568" s="72">
        <f t="shared" si="63"/>
        <v>0.10058636842769057</v>
      </c>
      <c r="G568" s="70">
        <f t="shared" si="59"/>
        <v>1.0000000000000009E-2</v>
      </c>
      <c r="H568" s="60">
        <f t="shared" si="58"/>
        <v>1.0058636842769067E-3</v>
      </c>
      <c r="I568" s="60">
        <f t="shared" si="64"/>
        <v>0.95201330757847002</v>
      </c>
      <c r="J568" s="60">
        <f t="shared" si="60"/>
        <v>0.95154277373327711</v>
      </c>
    </row>
    <row r="569" spans="1:10" x14ac:dyDescent="0.3">
      <c r="A569" s="70">
        <f t="shared" si="61"/>
        <v>1.67</v>
      </c>
      <c r="B569" s="60">
        <v>0</v>
      </c>
      <c r="C569" s="70">
        <v>1.67</v>
      </c>
      <c r="D569" s="70">
        <v>1</v>
      </c>
      <c r="E569" s="71">
        <f t="shared" si="62"/>
        <v>-1.39445</v>
      </c>
      <c r="F569" s="72">
        <f t="shared" si="63"/>
        <v>9.8925470736323712E-2</v>
      </c>
      <c r="G569" s="70">
        <f t="shared" si="59"/>
        <v>1.0000000000000009E-2</v>
      </c>
      <c r="H569" s="60">
        <f t="shared" si="58"/>
        <v>9.8925470736323804E-4</v>
      </c>
      <c r="I569" s="60">
        <f t="shared" si="64"/>
        <v>0.95300256228583324</v>
      </c>
      <c r="J569" s="60">
        <f t="shared" si="60"/>
        <v>0.95254031819705265</v>
      </c>
    </row>
    <row r="570" spans="1:10" x14ac:dyDescent="0.3">
      <c r="A570" s="70">
        <f t="shared" si="61"/>
        <v>1.68</v>
      </c>
      <c r="B570" s="60">
        <v>0</v>
      </c>
      <c r="C570" s="70">
        <v>1.68</v>
      </c>
      <c r="D570" s="70">
        <v>1</v>
      </c>
      <c r="E570" s="71">
        <f t="shared" si="62"/>
        <v>-1.4111999999999998</v>
      </c>
      <c r="F570" s="72">
        <f t="shared" si="63"/>
        <v>9.7282269331467511E-2</v>
      </c>
      <c r="G570" s="70">
        <f t="shared" si="59"/>
        <v>1.0000000000000009E-2</v>
      </c>
      <c r="H570" s="60">
        <f t="shared" si="58"/>
        <v>9.7282269331467599E-4</v>
      </c>
      <c r="I570" s="60">
        <f t="shared" si="64"/>
        <v>0.95397538497914791</v>
      </c>
      <c r="J570" s="60">
        <f t="shared" si="60"/>
        <v>0.95352134213627993</v>
      </c>
    </row>
    <row r="571" spans="1:10" x14ac:dyDescent="0.3">
      <c r="A571" s="70">
        <f t="shared" si="61"/>
        <v>1.69</v>
      </c>
      <c r="B571" s="60">
        <v>0</v>
      </c>
      <c r="C571" s="70">
        <v>1.69</v>
      </c>
      <c r="D571" s="70">
        <v>1</v>
      </c>
      <c r="E571" s="71">
        <f t="shared" si="62"/>
        <v>-1.4280499999999998</v>
      </c>
      <c r="F571" s="72">
        <f t="shared" si="63"/>
        <v>9.5656796163524016E-2</v>
      </c>
      <c r="G571" s="70">
        <f t="shared" si="59"/>
        <v>1.0000000000000009E-2</v>
      </c>
      <c r="H571" s="60">
        <f t="shared" si="58"/>
        <v>9.5656796163524102E-4</v>
      </c>
      <c r="I571" s="60">
        <f t="shared" si="64"/>
        <v>0.95493195294078315</v>
      </c>
      <c r="J571" s="60">
        <f t="shared" si="60"/>
        <v>0.95448602267845017</v>
      </c>
    </row>
    <row r="572" spans="1:10" x14ac:dyDescent="0.3">
      <c r="A572" s="70">
        <f t="shared" si="61"/>
        <v>1.7</v>
      </c>
      <c r="B572" s="60">
        <v>0</v>
      </c>
      <c r="C572" s="70">
        <v>1.7</v>
      </c>
      <c r="D572" s="70">
        <v>1</v>
      </c>
      <c r="E572" s="71">
        <f t="shared" si="62"/>
        <v>-1.4449999999999998</v>
      </c>
      <c r="F572" s="72">
        <f t="shared" si="63"/>
        <v>9.4049077376886947E-2</v>
      </c>
      <c r="G572" s="70">
        <f t="shared" si="59"/>
        <v>1.0000000000000009E-2</v>
      </c>
      <c r="H572" s="60">
        <f t="shared" si="58"/>
        <v>9.4049077376887026E-4</v>
      </c>
      <c r="I572" s="60">
        <f t="shared" si="64"/>
        <v>0.95587244371455204</v>
      </c>
      <c r="J572" s="60">
        <f t="shared" si="60"/>
        <v>0.95543453724145699</v>
      </c>
    </row>
    <row r="573" spans="1:10" x14ac:dyDescent="0.3">
      <c r="A573" s="70">
        <f t="shared" si="61"/>
        <v>1.71</v>
      </c>
      <c r="B573" s="60">
        <v>0</v>
      </c>
      <c r="C573" s="70">
        <v>1.71</v>
      </c>
      <c r="D573" s="70">
        <v>1</v>
      </c>
      <c r="E573" s="71">
        <f t="shared" si="62"/>
        <v>-1.4620499999999998</v>
      </c>
      <c r="F573" s="72">
        <f t="shared" si="63"/>
        <v>9.2459133396580684E-2</v>
      </c>
      <c r="G573" s="70">
        <f t="shared" si="59"/>
        <v>1.0000000000000009E-2</v>
      </c>
      <c r="H573" s="60">
        <f t="shared" si="58"/>
        <v>9.245913339658077E-4</v>
      </c>
      <c r="I573" s="60">
        <f t="shared" si="64"/>
        <v>0.95679703504851787</v>
      </c>
      <c r="J573" s="60">
        <f t="shared" si="60"/>
        <v>0.95636706347596812</v>
      </c>
    </row>
    <row r="574" spans="1:10" x14ac:dyDescent="0.3">
      <c r="A574" s="70">
        <f t="shared" si="61"/>
        <v>1.72</v>
      </c>
      <c r="B574" s="60">
        <v>0</v>
      </c>
      <c r="C574" s="70">
        <v>1.72</v>
      </c>
      <c r="D574" s="70">
        <v>1</v>
      </c>
      <c r="E574" s="71">
        <f t="shared" si="62"/>
        <v>-1.4791999999999998</v>
      </c>
      <c r="F574" s="72">
        <f t="shared" si="63"/>
        <v>9.0886979016282871E-2</v>
      </c>
      <c r="G574" s="70">
        <f t="shared" si="59"/>
        <v>1.0000000000000009E-2</v>
      </c>
      <c r="H574" s="60">
        <f t="shared" si="58"/>
        <v>9.0886979016282956E-4</v>
      </c>
      <c r="I574" s="60">
        <f t="shared" si="64"/>
        <v>0.95770590483868068</v>
      </c>
      <c r="J574" s="60">
        <f t="shared" si="60"/>
        <v>0.95728377920867114</v>
      </c>
    </row>
    <row r="575" spans="1:10" x14ac:dyDescent="0.3">
      <c r="A575" s="70">
        <f t="shared" si="61"/>
        <v>1.73</v>
      </c>
      <c r="B575" s="60">
        <v>0</v>
      </c>
      <c r="C575" s="70">
        <v>1.73</v>
      </c>
      <c r="D575" s="70">
        <v>1</v>
      </c>
      <c r="E575" s="71">
        <f t="shared" si="62"/>
        <v>-1.4964500000000001</v>
      </c>
      <c r="F575" s="72">
        <f t="shared" si="63"/>
        <v>8.9332623487655E-2</v>
      </c>
      <c r="G575" s="70">
        <f t="shared" si="59"/>
        <v>1.0000000000000009E-2</v>
      </c>
      <c r="H575" s="60">
        <f t="shared" si="58"/>
        <v>8.9332623487655078E-4</v>
      </c>
      <c r="I575" s="60">
        <f t="shared" si="64"/>
        <v>0.95859923107355727</v>
      </c>
      <c r="J575" s="60">
        <f t="shared" si="60"/>
        <v>0.9581848623864051</v>
      </c>
    </row>
    <row r="576" spans="1:10" x14ac:dyDescent="0.3">
      <c r="A576" s="70">
        <f t="shared" si="61"/>
        <v>1.74</v>
      </c>
      <c r="B576" s="60">
        <v>0</v>
      </c>
      <c r="C576" s="70">
        <v>1.74</v>
      </c>
      <c r="D576" s="70">
        <v>1</v>
      </c>
      <c r="E576" s="71">
        <f t="shared" si="62"/>
        <v>-1.5138</v>
      </c>
      <c r="F576" s="72">
        <f t="shared" si="63"/>
        <v>8.7796070610905622E-2</v>
      </c>
      <c r="G576" s="70">
        <f t="shared" si="59"/>
        <v>1.0000000000000009E-2</v>
      </c>
      <c r="H576" s="60">
        <f t="shared" ref="H576:H639" si="65">F576*G576</f>
        <v>8.7796070610905697E-4</v>
      </c>
      <c r="I576" s="60">
        <f t="shared" si="64"/>
        <v>0.95947719177966628</v>
      </c>
      <c r="J576" s="60">
        <f t="shared" si="60"/>
        <v>0.95907049102119268</v>
      </c>
    </row>
    <row r="577" spans="1:10" x14ac:dyDescent="0.3">
      <c r="A577" s="70">
        <f t="shared" si="61"/>
        <v>1.75</v>
      </c>
      <c r="B577" s="60">
        <v>0</v>
      </c>
      <c r="C577" s="70">
        <v>1.75</v>
      </c>
      <c r="D577" s="70">
        <v>1</v>
      </c>
      <c r="E577" s="71">
        <f t="shared" si="62"/>
        <v>-1.53125</v>
      </c>
      <c r="F577" s="72">
        <f t="shared" si="63"/>
        <v>8.6277318826511532E-2</v>
      </c>
      <c r="G577" s="70">
        <f t="shared" si="59"/>
        <v>1.0000000000000009E-2</v>
      </c>
      <c r="H577" s="60">
        <f t="shared" si="65"/>
        <v>8.6277318826511612E-4</v>
      </c>
      <c r="I577" s="60">
        <f t="shared" si="64"/>
        <v>0.96033996496793139</v>
      </c>
      <c r="J577" s="60">
        <f t="shared" si="60"/>
        <v>0.95994084313618289</v>
      </c>
    </row>
    <row r="578" spans="1:10" x14ac:dyDescent="0.3">
      <c r="A578" s="70">
        <f t="shared" si="61"/>
        <v>1.76</v>
      </c>
      <c r="B578" s="60">
        <v>0</v>
      </c>
      <c r="C578" s="70">
        <v>1.76</v>
      </c>
      <c r="D578" s="70">
        <v>1</v>
      </c>
      <c r="E578" s="71">
        <f t="shared" si="62"/>
        <v>-1.5488</v>
      </c>
      <c r="F578" s="72">
        <f t="shared" si="63"/>
        <v>8.4776361308022227E-2</v>
      </c>
      <c r="G578" s="70">
        <f t="shared" ref="G578:G641" si="66">C579-C578</f>
        <v>1.0000000000000009E-2</v>
      </c>
      <c r="H578" s="60">
        <f t="shared" si="65"/>
        <v>8.4776361308022306E-4</v>
      </c>
      <c r="I578" s="60">
        <f t="shared" si="64"/>
        <v>0.96118772858101165</v>
      </c>
      <c r="J578" s="60">
        <f t="shared" ref="J578:J641" si="67">NORMSDIST(C578)</f>
        <v>0.96079609671251731</v>
      </c>
    </row>
    <row r="579" spans="1:10" x14ac:dyDescent="0.3">
      <c r="A579" s="70">
        <f t="shared" ref="A579:A642" si="68">B579+C579</f>
        <v>1.77</v>
      </c>
      <c r="B579" s="60">
        <v>0</v>
      </c>
      <c r="C579" s="70">
        <v>1.77</v>
      </c>
      <c r="D579" s="70">
        <v>1</v>
      </c>
      <c r="E579" s="71">
        <f t="shared" ref="E579:E642" si="69">-(A579-B579)*(A579-B579)/2</f>
        <v>-1.5664500000000001</v>
      </c>
      <c r="F579" s="72">
        <f t="shared" ref="F579:F642" si="70">(1/SQRT(2*PI()))*(EXP(E579))</f>
        <v>8.3293186055874463E-2</v>
      </c>
      <c r="G579" s="70">
        <f t="shared" si="66"/>
        <v>1.0000000000000009E-2</v>
      </c>
      <c r="H579" s="60">
        <f t="shared" si="65"/>
        <v>8.3293186055874533E-4</v>
      </c>
      <c r="I579" s="60">
        <f t="shared" si="64"/>
        <v>0.96202066044157042</v>
      </c>
      <c r="J579" s="60">
        <f t="shared" si="67"/>
        <v>0.96163642963712881</v>
      </c>
    </row>
    <row r="580" spans="1:10" x14ac:dyDescent="0.3">
      <c r="A580" s="70">
        <f t="shared" si="68"/>
        <v>1.78</v>
      </c>
      <c r="B580" s="60">
        <v>0</v>
      </c>
      <c r="C580" s="70">
        <v>1.78</v>
      </c>
      <c r="D580" s="70">
        <v>1</v>
      </c>
      <c r="E580" s="71">
        <f t="shared" si="69"/>
        <v>-1.5842000000000001</v>
      </c>
      <c r="F580" s="72">
        <f t="shared" si="70"/>
        <v>8.1827775992142804E-2</v>
      </c>
      <c r="G580" s="70">
        <f t="shared" si="66"/>
        <v>1.0000000000000009E-2</v>
      </c>
      <c r="H580" s="60">
        <f t="shared" si="65"/>
        <v>8.182777599214288E-4</v>
      </c>
      <c r="I580" s="60">
        <f t="shared" si="64"/>
        <v>0.9628389382014918</v>
      </c>
      <c r="J580" s="60">
        <f t="shared" si="67"/>
        <v>0.96246201965148326</v>
      </c>
    </row>
    <row r="581" spans="1:10" x14ac:dyDescent="0.3">
      <c r="A581" s="70">
        <f t="shared" si="68"/>
        <v>1.79</v>
      </c>
      <c r="B581" s="60">
        <v>0</v>
      </c>
      <c r="C581" s="70">
        <v>1.79</v>
      </c>
      <c r="D581" s="70">
        <v>1</v>
      </c>
      <c r="E581" s="71">
        <f t="shared" si="69"/>
        <v>-1.60205</v>
      </c>
      <c r="F581" s="72">
        <f t="shared" si="70"/>
        <v>8.038010905615417E-2</v>
      </c>
      <c r="G581" s="70">
        <f t="shared" si="66"/>
        <v>1.0000000000000009E-2</v>
      </c>
      <c r="H581" s="60">
        <f t="shared" si="65"/>
        <v>8.0380109056154246E-4</v>
      </c>
      <c r="I581" s="60">
        <f t="shared" si="64"/>
        <v>0.96364273929205335</v>
      </c>
      <c r="J581" s="60">
        <f t="shared" si="67"/>
        <v>0.9632730443012737</v>
      </c>
    </row>
    <row r="582" spans="1:10" x14ac:dyDescent="0.3">
      <c r="A582" s="70">
        <f t="shared" si="68"/>
        <v>1.8</v>
      </c>
      <c r="B582" s="60">
        <v>0</v>
      </c>
      <c r="C582" s="70">
        <v>1.8</v>
      </c>
      <c r="D582" s="70">
        <v>1</v>
      </c>
      <c r="E582" s="71">
        <f t="shared" si="69"/>
        <v>-1.62</v>
      </c>
      <c r="F582" s="72">
        <f t="shared" si="70"/>
        <v>7.8950158300894149E-2</v>
      </c>
      <c r="G582" s="70">
        <f t="shared" si="66"/>
        <v>1.0000000000000009E-2</v>
      </c>
      <c r="H582" s="60">
        <f t="shared" si="65"/>
        <v>7.8950158300894219E-4</v>
      </c>
      <c r="I582" s="60">
        <f t="shared" si="64"/>
        <v>0.9644322408750623</v>
      </c>
      <c r="J582" s="60">
        <f t="shared" si="67"/>
        <v>0.96406968088707423</v>
      </c>
    </row>
    <row r="583" spans="1:10" x14ac:dyDescent="0.3">
      <c r="A583" s="70">
        <f t="shared" si="68"/>
        <v>1.81</v>
      </c>
      <c r="B583" s="60">
        <v>0</v>
      </c>
      <c r="C583" s="70">
        <v>1.81</v>
      </c>
      <c r="D583" s="70">
        <v>1</v>
      </c>
      <c r="E583" s="71">
        <f t="shared" si="69"/>
        <v>-1.63805</v>
      </c>
      <c r="F583" s="72">
        <f t="shared" si="70"/>
        <v>7.7537891990133986E-2</v>
      </c>
      <c r="G583" s="70">
        <f t="shared" si="66"/>
        <v>1.0000000000000009E-2</v>
      </c>
      <c r="H583" s="60">
        <f t="shared" si="65"/>
        <v>7.753789199013405E-4</v>
      </c>
      <c r="I583" s="60">
        <f t="shared" si="64"/>
        <v>0.96520761979496361</v>
      </c>
      <c r="J583" s="60">
        <f t="shared" si="67"/>
        <v>0.9648521064159612</v>
      </c>
    </row>
    <row r="584" spans="1:10" x14ac:dyDescent="0.3">
      <c r="A584" s="70">
        <f t="shared" si="68"/>
        <v>1.82</v>
      </c>
      <c r="B584" s="60">
        <v>0</v>
      </c>
      <c r="C584" s="70">
        <v>1.82</v>
      </c>
      <c r="D584" s="70">
        <v>1</v>
      </c>
      <c r="E584" s="71">
        <f t="shared" si="69"/>
        <v>-1.6562000000000001</v>
      </c>
      <c r="F584" s="72">
        <f t="shared" si="70"/>
        <v>7.6143273696207311E-2</v>
      </c>
      <c r="G584" s="70">
        <f t="shared" si="66"/>
        <v>1.0000000000000009E-2</v>
      </c>
      <c r="H584" s="60">
        <f t="shared" si="65"/>
        <v>7.6143273696207376E-4</v>
      </c>
      <c r="I584" s="60">
        <f t="shared" si="64"/>
        <v>0.96596905253192566</v>
      </c>
      <c r="J584" s="60">
        <f t="shared" si="67"/>
        <v>0.96562049755411006</v>
      </c>
    </row>
    <row r="585" spans="1:10" x14ac:dyDescent="0.3">
      <c r="A585" s="70">
        <f t="shared" si="68"/>
        <v>1.83</v>
      </c>
      <c r="B585" s="60">
        <v>0</v>
      </c>
      <c r="C585" s="70">
        <v>1.83</v>
      </c>
      <c r="D585" s="70">
        <v>1</v>
      </c>
      <c r="E585" s="71">
        <f t="shared" si="69"/>
        <v>-1.6744500000000002</v>
      </c>
      <c r="F585" s="72">
        <f t="shared" si="70"/>
        <v>7.4766262398367603E-2</v>
      </c>
      <c r="G585" s="70">
        <f t="shared" si="66"/>
        <v>1.0000000000000009E-2</v>
      </c>
      <c r="H585" s="60">
        <f t="shared" si="65"/>
        <v>7.4766262398367664E-4</v>
      </c>
      <c r="I585" s="60">
        <f t="shared" si="64"/>
        <v>0.96671671515590929</v>
      </c>
      <c r="J585" s="60">
        <f t="shared" si="67"/>
        <v>0.96637503058037166</v>
      </c>
    </row>
    <row r="586" spans="1:10" x14ac:dyDescent="0.3">
      <c r="A586" s="70">
        <f t="shared" si="68"/>
        <v>1.84</v>
      </c>
      <c r="B586" s="60">
        <v>0</v>
      </c>
      <c r="C586" s="70">
        <v>1.84</v>
      </c>
      <c r="D586" s="70">
        <v>1</v>
      </c>
      <c r="E586" s="71">
        <f t="shared" si="69"/>
        <v>-1.6928000000000001</v>
      </c>
      <c r="F586" s="72">
        <f t="shared" si="70"/>
        <v>7.3406812581656891E-2</v>
      </c>
      <c r="G586" s="70">
        <f t="shared" si="66"/>
        <v>1.0000000000000009E-2</v>
      </c>
      <c r="H586" s="60">
        <f t="shared" si="65"/>
        <v>7.3406812581656956E-4</v>
      </c>
      <c r="I586" s="60">
        <f t="shared" si="64"/>
        <v>0.96745078328172585</v>
      </c>
      <c r="J586" s="60">
        <f t="shared" si="67"/>
        <v>0.96711588134083615</v>
      </c>
    </row>
    <row r="587" spans="1:10" x14ac:dyDescent="0.3">
      <c r="A587" s="70">
        <f t="shared" si="68"/>
        <v>1.85</v>
      </c>
      <c r="B587" s="60">
        <v>0</v>
      </c>
      <c r="C587" s="70">
        <v>1.85</v>
      </c>
      <c r="D587" s="70">
        <v>1</v>
      </c>
      <c r="E587" s="71">
        <f t="shared" si="69"/>
        <v>-1.7112500000000002</v>
      </c>
      <c r="F587" s="72">
        <f t="shared" si="70"/>
        <v>7.2064874336217985E-2</v>
      </c>
      <c r="G587" s="70">
        <f t="shared" si="66"/>
        <v>1.0000000000000009E-2</v>
      </c>
      <c r="H587" s="60">
        <f t="shared" si="65"/>
        <v>7.2064874336218046E-4</v>
      </c>
      <c r="I587" s="60">
        <f t="shared" si="64"/>
        <v>0.96817143202508804</v>
      </c>
      <c r="J587" s="60">
        <f t="shared" si="67"/>
        <v>0.96784322520438626</v>
      </c>
    </row>
    <row r="588" spans="1:10" x14ac:dyDescent="0.3">
      <c r="A588" s="70">
        <f t="shared" si="68"/>
        <v>1.86</v>
      </c>
      <c r="B588" s="60">
        <v>0</v>
      </c>
      <c r="C588" s="70">
        <v>1.86</v>
      </c>
      <c r="D588" s="70">
        <v>1</v>
      </c>
      <c r="E588" s="71">
        <f t="shared" si="69"/>
        <v>-1.7298000000000002</v>
      </c>
      <c r="F588" s="72">
        <f t="shared" si="70"/>
        <v>7.074039345698338E-2</v>
      </c>
      <c r="G588" s="70">
        <f t="shared" si="66"/>
        <v>1.0000000000000009E-2</v>
      </c>
      <c r="H588" s="60">
        <f t="shared" si="65"/>
        <v>7.0740393456983439E-4</v>
      </c>
      <c r="I588" s="60">
        <f t="shared" si="64"/>
        <v>0.96887883595965785</v>
      </c>
      <c r="J588" s="60">
        <f t="shared" si="67"/>
        <v>0.96855723701924734</v>
      </c>
    </row>
    <row r="589" spans="1:10" x14ac:dyDescent="0.3">
      <c r="A589" s="70">
        <f t="shared" si="68"/>
        <v>1.87</v>
      </c>
      <c r="B589" s="60">
        <v>0</v>
      </c>
      <c r="C589" s="70">
        <v>1.87</v>
      </c>
      <c r="D589" s="70">
        <v>1</v>
      </c>
      <c r="E589" s="71">
        <f t="shared" si="69"/>
        <v>-1.7484500000000003</v>
      </c>
      <c r="F589" s="72">
        <f t="shared" si="70"/>
        <v>6.9433311543674187E-2</v>
      </c>
      <c r="G589" s="70">
        <f t="shared" si="66"/>
        <v>9.9999999999997868E-3</v>
      </c>
      <c r="H589" s="60">
        <f t="shared" si="65"/>
        <v>6.9433311543672701E-4</v>
      </c>
      <c r="I589" s="60">
        <f t="shared" si="64"/>
        <v>0.96957316907509461</v>
      </c>
      <c r="J589" s="60">
        <f t="shared" si="67"/>
        <v>0.96925809107053407</v>
      </c>
    </row>
    <row r="590" spans="1:10" x14ac:dyDescent="0.3">
      <c r="A590" s="70">
        <f t="shared" si="68"/>
        <v>1.88</v>
      </c>
      <c r="B590" s="60">
        <v>0</v>
      </c>
      <c r="C590" s="70">
        <v>1.88</v>
      </c>
      <c r="D590" s="70">
        <v>1</v>
      </c>
      <c r="E590" s="71">
        <f t="shared" si="69"/>
        <v>-1.7671999999999999</v>
      </c>
      <c r="F590" s="72">
        <f t="shared" si="70"/>
        <v>6.8143566101044578E-2</v>
      </c>
      <c r="G590" s="70">
        <f t="shared" si="66"/>
        <v>1.0000000000000009E-2</v>
      </c>
      <c r="H590" s="60">
        <f t="shared" si="65"/>
        <v>6.8143566101044634E-4</v>
      </c>
      <c r="I590" s="60">
        <f t="shared" si="64"/>
        <v>0.97025460473610503</v>
      </c>
      <c r="J590" s="60">
        <f t="shared" si="67"/>
        <v>0.96994596103880026</v>
      </c>
    </row>
    <row r="591" spans="1:10" x14ac:dyDescent="0.3">
      <c r="A591" s="70">
        <f t="shared" si="68"/>
        <v>1.89</v>
      </c>
      <c r="B591" s="60">
        <v>0</v>
      </c>
      <c r="C591" s="70">
        <v>1.89</v>
      </c>
      <c r="D591" s="70">
        <v>1</v>
      </c>
      <c r="E591" s="71">
        <f t="shared" si="69"/>
        <v>-1.7860499999999999</v>
      </c>
      <c r="F591" s="72">
        <f t="shared" si="70"/>
        <v>6.6871090639307157E-2</v>
      </c>
      <c r="G591" s="70">
        <f t="shared" si="66"/>
        <v>1.0000000000000009E-2</v>
      </c>
      <c r="H591" s="60">
        <f t="shared" si="65"/>
        <v>6.6871090639307213E-4</v>
      </c>
      <c r="I591" s="60">
        <f t="shared" si="64"/>
        <v>0.97092331564249812</v>
      </c>
      <c r="J591" s="60">
        <f t="shared" si="67"/>
        <v>0.9706210199595906</v>
      </c>
    </row>
    <row r="592" spans="1:10" x14ac:dyDescent="0.3">
      <c r="A592" s="70">
        <f t="shared" si="68"/>
        <v>1.9</v>
      </c>
      <c r="B592" s="60">
        <v>0</v>
      </c>
      <c r="C592" s="70">
        <v>1.9</v>
      </c>
      <c r="D592" s="70">
        <v>1</v>
      </c>
      <c r="E592" s="71">
        <f t="shared" si="69"/>
        <v>-1.8049999999999999</v>
      </c>
      <c r="F592" s="72">
        <f t="shared" si="70"/>
        <v>6.5615814774676595E-2</v>
      </c>
      <c r="G592" s="70">
        <f t="shared" si="66"/>
        <v>1.0000000000000009E-2</v>
      </c>
      <c r="H592" s="60">
        <f t="shared" si="65"/>
        <v>6.5615814774676654E-4</v>
      </c>
      <c r="I592" s="60">
        <f t="shared" si="64"/>
        <v>0.9715794737902449</v>
      </c>
      <c r="J592" s="60">
        <f t="shared" si="67"/>
        <v>0.97128344018399815</v>
      </c>
    </row>
    <row r="593" spans="1:10" x14ac:dyDescent="0.3">
      <c r="A593" s="70">
        <f t="shared" si="68"/>
        <v>1.91</v>
      </c>
      <c r="B593" s="60">
        <v>0</v>
      </c>
      <c r="C593" s="70">
        <v>1.91</v>
      </c>
      <c r="D593" s="70">
        <v>1</v>
      </c>
      <c r="E593" s="71">
        <f t="shared" si="69"/>
        <v>-1.8240499999999999</v>
      </c>
      <c r="F593" s="72">
        <f t="shared" si="70"/>
        <v>6.4377664329969359E-2</v>
      </c>
      <c r="G593" s="70">
        <f t="shared" si="66"/>
        <v>1.0000000000000009E-2</v>
      </c>
      <c r="H593" s="60">
        <f t="shared" si="65"/>
        <v>6.4377664329969421E-4</v>
      </c>
      <c r="I593" s="60">
        <f t="shared" si="64"/>
        <v>0.97222325043354463</v>
      </c>
      <c r="J593" s="60">
        <f t="shared" si="67"/>
        <v>0.97193339334022744</v>
      </c>
    </row>
    <row r="594" spans="1:10" x14ac:dyDescent="0.3">
      <c r="A594" s="70">
        <f t="shared" si="68"/>
        <v>1.92</v>
      </c>
      <c r="B594" s="60">
        <v>0</v>
      </c>
      <c r="C594" s="70">
        <v>1.92</v>
      </c>
      <c r="D594" s="70">
        <v>1</v>
      </c>
      <c r="E594" s="71">
        <f t="shared" si="69"/>
        <v>-1.8431999999999999</v>
      </c>
      <c r="F594" s="72">
        <f t="shared" si="70"/>
        <v>6.3156561435198655E-2</v>
      </c>
      <c r="G594" s="70">
        <f t="shared" si="66"/>
        <v>1.0000000000000009E-2</v>
      </c>
      <c r="H594" s="60">
        <f t="shared" si="65"/>
        <v>6.3156561435198709E-4</v>
      </c>
      <c r="I594" s="60">
        <f t="shared" si="64"/>
        <v>0.97285481604789659</v>
      </c>
      <c r="J594" s="60">
        <f t="shared" si="67"/>
        <v>0.9725710502961632</v>
      </c>
    </row>
    <row r="595" spans="1:10" x14ac:dyDescent="0.3">
      <c r="A595" s="70">
        <f t="shared" si="68"/>
        <v>1.93</v>
      </c>
      <c r="B595" s="60">
        <v>0</v>
      </c>
      <c r="C595" s="70">
        <v>1.93</v>
      </c>
      <c r="D595" s="70">
        <v>1</v>
      </c>
      <c r="E595" s="71">
        <f t="shared" si="69"/>
        <v>-1.8624499999999999</v>
      </c>
      <c r="F595" s="72">
        <f t="shared" si="70"/>
        <v>6.1952424628105164E-2</v>
      </c>
      <c r="G595" s="70">
        <f t="shared" si="66"/>
        <v>1.0000000000000009E-2</v>
      </c>
      <c r="H595" s="60">
        <f t="shared" si="65"/>
        <v>6.1952424628105218E-4</v>
      </c>
      <c r="I595" s="60">
        <f t="shared" ref="I595:I658" si="71">H595+I594</f>
        <v>0.97347434029417768</v>
      </c>
      <c r="J595" s="60">
        <f t="shared" si="67"/>
        <v>0.97319658112294505</v>
      </c>
    </row>
    <row r="596" spans="1:10" x14ac:dyDescent="0.3">
      <c r="A596" s="70">
        <f t="shared" si="68"/>
        <v>1.94</v>
      </c>
      <c r="B596" s="60">
        <v>0</v>
      </c>
      <c r="C596" s="70">
        <v>1.94</v>
      </c>
      <c r="D596" s="70">
        <v>1</v>
      </c>
      <c r="E596" s="71">
        <f t="shared" si="69"/>
        <v>-1.8817999999999999</v>
      </c>
      <c r="F596" s="72">
        <f t="shared" si="70"/>
        <v>6.0765168954564776E-2</v>
      </c>
      <c r="G596" s="70">
        <f t="shared" si="66"/>
        <v>1.0000000000000009E-2</v>
      </c>
      <c r="H596" s="60">
        <f t="shared" si="65"/>
        <v>6.076516895456483E-4</v>
      </c>
      <c r="I596" s="60">
        <f t="shared" si="71"/>
        <v>0.97408199198372336</v>
      </c>
      <c r="J596" s="60">
        <f t="shared" si="67"/>
        <v>0.97381015505954727</v>
      </c>
    </row>
    <row r="597" spans="1:10" x14ac:dyDescent="0.3">
      <c r="A597" s="70">
        <f t="shared" si="68"/>
        <v>1.95</v>
      </c>
      <c r="B597" s="60">
        <v>0</v>
      </c>
      <c r="C597" s="70">
        <v>1.95</v>
      </c>
      <c r="D597" s="70">
        <v>1</v>
      </c>
      <c r="E597" s="71">
        <f t="shared" si="69"/>
        <v>-1.9012499999999999</v>
      </c>
      <c r="F597" s="72">
        <f t="shared" si="70"/>
        <v>5.9594706068816075E-2</v>
      </c>
      <c r="G597" s="70">
        <f t="shared" si="66"/>
        <v>1.0000000000000009E-2</v>
      </c>
      <c r="H597" s="60">
        <f t="shared" si="65"/>
        <v>5.959470606881613E-4</v>
      </c>
      <c r="I597" s="60">
        <f t="shared" si="71"/>
        <v>0.97467793904441147</v>
      </c>
      <c r="J597" s="60">
        <f t="shared" si="67"/>
        <v>0.97441194047836144</v>
      </c>
    </row>
    <row r="598" spans="1:10" x14ac:dyDescent="0.3">
      <c r="A598" s="70">
        <f t="shared" si="68"/>
        <v>1.96</v>
      </c>
      <c r="B598" s="60">
        <v>0</v>
      </c>
      <c r="C598" s="70">
        <v>1.96</v>
      </c>
      <c r="D598" s="70">
        <v>1</v>
      </c>
      <c r="E598" s="71">
        <f t="shared" si="69"/>
        <v>-1.9207999999999998</v>
      </c>
      <c r="F598" s="72">
        <f t="shared" si="70"/>
        <v>5.8440944333451469E-2</v>
      </c>
      <c r="G598" s="70">
        <f t="shared" si="66"/>
        <v>1.0000000000000009E-2</v>
      </c>
      <c r="H598" s="60">
        <f t="shared" si="65"/>
        <v>5.8440944333451518E-4</v>
      </c>
      <c r="I598" s="60">
        <f t="shared" si="71"/>
        <v>0.97526234848774596</v>
      </c>
      <c r="J598" s="60">
        <f t="shared" si="67"/>
        <v>0.97500210485177952</v>
      </c>
    </row>
    <row r="599" spans="1:10" x14ac:dyDescent="0.3">
      <c r="A599" s="70">
        <f t="shared" si="68"/>
        <v>1.97</v>
      </c>
      <c r="B599" s="60">
        <v>0</v>
      </c>
      <c r="C599" s="70">
        <v>1.97</v>
      </c>
      <c r="D599" s="70">
        <v>1</v>
      </c>
      <c r="E599" s="71">
        <f t="shared" si="69"/>
        <v>-1.94045</v>
      </c>
      <c r="F599" s="72">
        <f t="shared" si="70"/>
        <v>5.7303788919117131E-2</v>
      </c>
      <c r="G599" s="70">
        <f t="shared" si="66"/>
        <v>1.0000000000000009E-2</v>
      </c>
      <c r="H599" s="60">
        <f t="shared" si="65"/>
        <v>5.7303788919117185E-4</v>
      </c>
      <c r="I599" s="60">
        <f t="shared" si="71"/>
        <v>0.97583538637693712</v>
      </c>
      <c r="J599" s="60">
        <f t="shared" si="67"/>
        <v>0.97558081471977742</v>
      </c>
    </row>
    <row r="600" spans="1:10" x14ac:dyDescent="0.3">
      <c r="A600" s="70">
        <f t="shared" si="68"/>
        <v>1.98</v>
      </c>
      <c r="B600" s="60">
        <v>0</v>
      </c>
      <c r="C600" s="70">
        <v>1.98</v>
      </c>
      <c r="D600" s="70">
        <v>1</v>
      </c>
      <c r="E600" s="71">
        <f t="shared" si="69"/>
        <v>-1.9601999999999999</v>
      </c>
      <c r="F600" s="72">
        <f t="shared" si="70"/>
        <v>5.6183141903868049E-2</v>
      </c>
      <c r="G600" s="70">
        <f t="shared" si="66"/>
        <v>1.0000000000000009E-2</v>
      </c>
      <c r="H600" s="60">
        <f t="shared" si="65"/>
        <v>5.6183141903868097E-4</v>
      </c>
      <c r="I600" s="60">
        <f t="shared" si="71"/>
        <v>0.97639721779597577</v>
      </c>
      <c r="J600" s="60">
        <f t="shared" si="67"/>
        <v>0.97614823565849151</v>
      </c>
    </row>
    <row r="601" spans="1:10" x14ac:dyDescent="0.3">
      <c r="A601" s="70">
        <f t="shared" si="68"/>
        <v>1.99</v>
      </c>
      <c r="B601" s="60">
        <v>0</v>
      </c>
      <c r="C601" s="70">
        <v>1.99</v>
      </c>
      <c r="D601" s="70">
        <v>1</v>
      </c>
      <c r="E601" s="71">
        <f t="shared" si="69"/>
        <v>-1.9800500000000001</v>
      </c>
      <c r="F601" s="72">
        <f t="shared" si="70"/>
        <v>5.5078902372125767E-2</v>
      </c>
      <c r="G601" s="70">
        <f t="shared" si="66"/>
        <v>1.0000000000000009E-2</v>
      </c>
      <c r="H601" s="60">
        <f t="shared" si="65"/>
        <v>5.5078902372125813E-4</v>
      </c>
      <c r="I601" s="60">
        <f t="shared" si="71"/>
        <v>0.97694800681969707</v>
      </c>
      <c r="J601" s="60">
        <f t="shared" si="67"/>
        <v>0.97670453224978815</v>
      </c>
    </row>
    <row r="602" spans="1:10" x14ac:dyDescent="0.3">
      <c r="A602" s="70">
        <f t="shared" si="68"/>
        <v>2</v>
      </c>
      <c r="B602" s="60">
        <v>0</v>
      </c>
      <c r="C602" s="70">
        <v>2</v>
      </c>
      <c r="D602" s="70">
        <v>1</v>
      </c>
      <c r="E602" s="71">
        <f t="shared" si="69"/>
        <v>-2</v>
      </c>
      <c r="F602" s="72">
        <f t="shared" si="70"/>
        <v>5.3990966513188063E-2</v>
      </c>
      <c r="G602" s="70">
        <f t="shared" si="66"/>
        <v>9.9999999999997868E-3</v>
      </c>
      <c r="H602" s="60">
        <f t="shared" si="65"/>
        <v>5.3990966513186916E-4</v>
      </c>
      <c r="I602" s="60">
        <f t="shared" si="71"/>
        <v>0.97748791648482891</v>
      </c>
      <c r="J602" s="60">
        <f t="shared" si="67"/>
        <v>0.97724986805182079</v>
      </c>
    </row>
    <row r="603" spans="1:10" x14ac:dyDescent="0.3">
      <c r="A603" s="70">
        <f t="shared" si="68"/>
        <v>2.0099999999999998</v>
      </c>
      <c r="B603" s="60">
        <v>0</v>
      </c>
      <c r="C603" s="70">
        <v>2.0099999999999998</v>
      </c>
      <c r="D603" s="70">
        <v>1</v>
      </c>
      <c r="E603" s="71">
        <f t="shared" si="69"/>
        <v>-2.0200499999999995</v>
      </c>
      <c r="F603" s="72">
        <f t="shared" si="70"/>
        <v>5.2919227719240312E-2</v>
      </c>
      <c r="G603" s="70">
        <f t="shared" si="66"/>
        <v>1.0000000000000231E-2</v>
      </c>
      <c r="H603" s="60">
        <f t="shared" si="65"/>
        <v>5.2919227719241534E-4</v>
      </c>
      <c r="I603" s="60">
        <f t="shared" si="71"/>
        <v>0.9780171087620213</v>
      </c>
      <c r="J603" s="60">
        <f t="shared" si="67"/>
        <v>0.97778440557056856</v>
      </c>
    </row>
    <row r="604" spans="1:10" x14ac:dyDescent="0.3">
      <c r="A604" s="70">
        <f t="shared" si="68"/>
        <v>2.02</v>
      </c>
      <c r="B604" s="60">
        <v>0</v>
      </c>
      <c r="C604" s="70">
        <v>2.02</v>
      </c>
      <c r="D604" s="70">
        <v>1</v>
      </c>
      <c r="E604" s="71">
        <f t="shared" si="69"/>
        <v>-2.0402</v>
      </c>
      <c r="F604" s="72">
        <f t="shared" si="70"/>
        <v>5.1863576682820565E-2</v>
      </c>
      <c r="G604" s="70">
        <f t="shared" si="66"/>
        <v>9.9999999999997868E-3</v>
      </c>
      <c r="H604" s="60">
        <f t="shared" si="65"/>
        <v>5.1863576682819462E-4</v>
      </c>
      <c r="I604" s="60">
        <f t="shared" si="71"/>
        <v>0.9785357445288495</v>
      </c>
      <c r="J604" s="60">
        <f t="shared" si="67"/>
        <v>0.97830830623235321</v>
      </c>
    </row>
    <row r="605" spans="1:10" x14ac:dyDescent="0.3">
      <c r="A605" s="70">
        <f t="shared" si="68"/>
        <v>2.0299999999999998</v>
      </c>
      <c r="B605" s="60">
        <v>0</v>
      </c>
      <c r="C605" s="70">
        <v>2.0299999999999998</v>
      </c>
      <c r="D605" s="70">
        <v>1</v>
      </c>
      <c r="E605" s="71">
        <f t="shared" si="69"/>
        <v>-2.0604499999999994</v>
      </c>
      <c r="F605" s="72">
        <f t="shared" si="70"/>
        <v>5.0823901493691204E-2</v>
      </c>
      <c r="G605" s="70">
        <f t="shared" si="66"/>
        <v>1.0000000000000231E-2</v>
      </c>
      <c r="H605" s="60">
        <f t="shared" si="65"/>
        <v>5.0823901493692372E-4</v>
      </c>
      <c r="I605" s="60">
        <f t="shared" si="71"/>
        <v>0.97904398354378641</v>
      </c>
      <c r="J605" s="60">
        <f t="shared" si="67"/>
        <v>0.97882173035732778</v>
      </c>
    </row>
    <row r="606" spans="1:10" x14ac:dyDescent="0.3">
      <c r="A606" s="70">
        <f t="shared" si="68"/>
        <v>2.04</v>
      </c>
      <c r="B606" s="60">
        <v>0</v>
      </c>
      <c r="C606" s="70">
        <v>2.04</v>
      </c>
      <c r="D606" s="70">
        <v>1</v>
      </c>
      <c r="E606" s="71">
        <f t="shared" si="69"/>
        <v>-2.0808</v>
      </c>
      <c r="F606" s="72">
        <f t="shared" si="70"/>
        <v>4.9800087735070775E-2</v>
      </c>
      <c r="G606" s="70">
        <f t="shared" si="66"/>
        <v>9.9999999999997868E-3</v>
      </c>
      <c r="H606" s="60">
        <f t="shared" si="65"/>
        <v>4.9800087735069715E-4</v>
      </c>
      <c r="I606" s="60">
        <f t="shared" si="71"/>
        <v>0.97954198442113716</v>
      </c>
      <c r="J606" s="60">
        <f t="shared" si="67"/>
        <v>0.97932483713392993</v>
      </c>
    </row>
    <row r="607" spans="1:10" x14ac:dyDescent="0.3">
      <c r="A607" s="70">
        <f t="shared" si="68"/>
        <v>2.0499999999999998</v>
      </c>
      <c r="B607" s="60">
        <v>0</v>
      </c>
      <c r="C607" s="70">
        <v>2.0499999999999998</v>
      </c>
      <c r="D607" s="70">
        <v>1</v>
      </c>
      <c r="E607" s="71">
        <f t="shared" si="69"/>
        <v>-2.1012499999999998</v>
      </c>
      <c r="F607" s="72">
        <f t="shared" si="70"/>
        <v>4.8792018579182764E-2</v>
      </c>
      <c r="G607" s="70">
        <f t="shared" si="66"/>
        <v>1.0000000000000231E-2</v>
      </c>
      <c r="H607" s="60">
        <f t="shared" si="65"/>
        <v>4.8792018579183892E-4</v>
      </c>
      <c r="I607" s="60">
        <f t="shared" si="71"/>
        <v>0.98002990460692896</v>
      </c>
      <c r="J607" s="60">
        <f t="shared" si="67"/>
        <v>0.97981778459429558</v>
      </c>
    </row>
    <row r="608" spans="1:10" x14ac:dyDescent="0.3">
      <c r="A608" s="70">
        <f t="shared" si="68"/>
        <v>2.06</v>
      </c>
      <c r="B608" s="60">
        <v>0</v>
      </c>
      <c r="C608" s="70">
        <v>2.06</v>
      </c>
      <c r="D608" s="70">
        <v>1</v>
      </c>
      <c r="E608" s="71">
        <f t="shared" si="69"/>
        <v>-2.1217999999999999</v>
      </c>
      <c r="F608" s="72">
        <f t="shared" si="70"/>
        <v>4.7799574882077034E-2</v>
      </c>
      <c r="G608" s="70">
        <f t="shared" si="66"/>
        <v>9.9999999999997868E-3</v>
      </c>
      <c r="H608" s="60">
        <f t="shared" si="65"/>
        <v>4.7799574882076017E-4</v>
      </c>
      <c r="I608" s="60">
        <f t="shared" si="71"/>
        <v>0.98050790035574975</v>
      </c>
      <c r="J608" s="60">
        <f t="shared" si="67"/>
        <v>0.98030072959062309</v>
      </c>
    </row>
    <row r="609" spans="1:10" x14ac:dyDescent="0.3">
      <c r="A609" s="70">
        <f t="shared" si="68"/>
        <v>2.0699999999999998</v>
      </c>
      <c r="B609" s="60">
        <v>0</v>
      </c>
      <c r="C609" s="70">
        <v>2.0699999999999998</v>
      </c>
      <c r="D609" s="70">
        <v>1</v>
      </c>
      <c r="E609" s="71">
        <f t="shared" si="69"/>
        <v>-2.1424499999999997</v>
      </c>
      <c r="F609" s="72">
        <f t="shared" si="70"/>
        <v>4.6822635277683163E-2</v>
      </c>
      <c r="G609" s="70">
        <f t="shared" si="66"/>
        <v>1.0000000000000231E-2</v>
      </c>
      <c r="H609" s="60">
        <f t="shared" si="65"/>
        <v>4.6822635277684243E-4</v>
      </c>
      <c r="I609" s="60">
        <f t="shared" si="71"/>
        <v>0.98097612670852663</v>
      </c>
      <c r="J609" s="60">
        <f t="shared" si="67"/>
        <v>0.98077382777248268</v>
      </c>
    </row>
    <row r="610" spans="1:10" x14ac:dyDescent="0.3">
      <c r="A610" s="70">
        <f t="shared" si="68"/>
        <v>2.08</v>
      </c>
      <c r="B610" s="60">
        <v>0</v>
      </c>
      <c r="C610" s="70">
        <v>2.08</v>
      </c>
      <c r="D610" s="70">
        <v>1</v>
      </c>
      <c r="E610" s="71">
        <f t="shared" si="69"/>
        <v>-2.1632000000000002</v>
      </c>
      <c r="F610" s="72">
        <f t="shared" si="70"/>
        <v>4.5861076271054887E-2</v>
      </c>
      <c r="G610" s="70">
        <f t="shared" si="66"/>
        <v>9.9999999999997868E-3</v>
      </c>
      <c r="H610" s="60">
        <f t="shared" si="65"/>
        <v>4.5861076271053912E-4</v>
      </c>
      <c r="I610" s="60">
        <f t="shared" si="71"/>
        <v>0.98143473747123722</v>
      </c>
      <c r="J610" s="60">
        <f t="shared" si="67"/>
        <v>0.98123723356506221</v>
      </c>
    </row>
    <row r="611" spans="1:10" x14ac:dyDescent="0.3">
      <c r="A611" s="70">
        <f t="shared" si="68"/>
        <v>2.09</v>
      </c>
      <c r="B611" s="60">
        <v>0</v>
      </c>
      <c r="C611" s="70">
        <v>2.09</v>
      </c>
      <c r="D611" s="70">
        <v>1</v>
      </c>
      <c r="E611" s="71">
        <f t="shared" si="69"/>
        <v>-2.1840499999999996</v>
      </c>
      <c r="F611" s="72">
        <f t="shared" si="70"/>
        <v>4.49147723307671E-2</v>
      </c>
      <c r="G611" s="70">
        <f t="shared" si="66"/>
        <v>1.0000000000000231E-2</v>
      </c>
      <c r="H611" s="60">
        <f t="shared" si="65"/>
        <v>4.4914772330768138E-4</v>
      </c>
      <c r="I611" s="60">
        <f t="shared" si="71"/>
        <v>0.98188388519454495</v>
      </c>
      <c r="J611" s="60">
        <f t="shared" si="67"/>
        <v>0.98169110014834104</v>
      </c>
    </row>
    <row r="612" spans="1:10" x14ac:dyDescent="0.3">
      <c r="A612" s="70">
        <f t="shared" si="68"/>
        <v>2.1</v>
      </c>
      <c r="B612" s="60">
        <v>0</v>
      </c>
      <c r="C612" s="70">
        <v>2.1</v>
      </c>
      <c r="D612" s="70">
        <v>1</v>
      </c>
      <c r="E612" s="71">
        <f t="shared" si="69"/>
        <v>-2.2050000000000001</v>
      </c>
      <c r="F612" s="72">
        <f t="shared" si="70"/>
        <v>4.3983595980427191E-2</v>
      </c>
      <c r="G612" s="70">
        <f t="shared" si="66"/>
        <v>9.9999999999997868E-3</v>
      </c>
      <c r="H612" s="60">
        <f t="shared" si="65"/>
        <v>4.3983595980426251E-4</v>
      </c>
      <c r="I612" s="60">
        <f t="shared" si="71"/>
        <v>0.98232372115434918</v>
      </c>
      <c r="J612" s="60">
        <f t="shared" si="67"/>
        <v>0.98213557943718344</v>
      </c>
    </row>
    <row r="613" spans="1:10" x14ac:dyDescent="0.3">
      <c r="A613" s="70">
        <f t="shared" si="68"/>
        <v>2.11</v>
      </c>
      <c r="B613" s="60">
        <v>0</v>
      </c>
      <c r="C613" s="70">
        <v>2.11</v>
      </c>
      <c r="D613" s="70">
        <v>1</v>
      </c>
      <c r="E613" s="71">
        <f t="shared" si="69"/>
        <v>-2.2260499999999999</v>
      </c>
      <c r="F613" s="72">
        <f t="shared" si="70"/>
        <v>4.3067417889265734E-2</v>
      </c>
      <c r="G613" s="70">
        <f t="shared" si="66"/>
        <v>1.0000000000000231E-2</v>
      </c>
      <c r="H613" s="60">
        <f t="shared" si="65"/>
        <v>4.3067417889266731E-4</v>
      </c>
      <c r="I613" s="60">
        <f t="shared" si="71"/>
        <v>0.98275439533324183</v>
      </c>
      <c r="J613" s="60">
        <f t="shared" si="67"/>
        <v>0.98257082206234292</v>
      </c>
    </row>
    <row r="614" spans="1:10" x14ac:dyDescent="0.3">
      <c r="A614" s="70">
        <f t="shared" si="68"/>
        <v>2.12</v>
      </c>
      <c r="B614" s="60">
        <v>0</v>
      </c>
      <c r="C614" s="70">
        <v>2.12</v>
      </c>
      <c r="D614" s="70">
        <v>1</v>
      </c>
      <c r="E614" s="71">
        <f t="shared" si="69"/>
        <v>-2.2472000000000003</v>
      </c>
      <c r="F614" s="72">
        <f t="shared" si="70"/>
        <v>4.2166106961770311E-2</v>
      </c>
      <c r="G614" s="70">
        <f t="shared" si="66"/>
        <v>9.9999999999997868E-3</v>
      </c>
      <c r="H614" s="60">
        <f t="shared" si="65"/>
        <v>4.2166106961769414E-4</v>
      </c>
      <c r="I614" s="60">
        <f t="shared" si="71"/>
        <v>0.98317605640285954</v>
      </c>
      <c r="J614" s="60">
        <f t="shared" si="67"/>
        <v>0.98299697735236724</v>
      </c>
    </row>
    <row r="615" spans="1:10" x14ac:dyDescent="0.3">
      <c r="A615" s="70">
        <f t="shared" si="68"/>
        <v>2.13</v>
      </c>
      <c r="B615" s="60">
        <v>0</v>
      </c>
      <c r="C615" s="70">
        <v>2.13</v>
      </c>
      <c r="D615" s="70">
        <v>1</v>
      </c>
      <c r="E615" s="71">
        <f t="shared" si="69"/>
        <v>-2.2684499999999996</v>
      </c>
      <c r="F615" s="72">
        <f t="shared" si="70"/>
        <v>4.1279530426330417E-2</v>
      </c>
      <c r="G615" s="70">
        <f t="shared" si="66"/>
        <v>1.0000000000000231E-2</v>
      </c>
      <c r="H615" s="60">
        <f t="shared" si="65"/>
        <v>4.1279530426331369E-4</v>
      </c>
      <c r="I615" s="60">
        <f t="shared" si="71"/>
        <v>0.98358885170712285</v>
      </c>
      <c r="J615" s="60">
        <f t="shared" si="67"/>
        <v>0.98341419331639501</v>
      </c>
    </row>
    <row r="616" spans="1:10" x14ac:dyDescent="0.3">
      <c r="A616" s="70">
        <f t="shared" si="68"/>
        <v>2.14</v>
      </c>
      <c r="B616" s="60">
        <v>0</v>
      </c>
      <c r="C616" s="70">
        <v>2.14</v>
      </c>
      <c r="D616" s="70">
        <v>1</v>
      </c>
      <c r="E616" s="71">
        <f t="shared" si="69"/>
        <v>-2.2898000000000001</v>
      </c>
      <c r="F616" s="72">
        <f t="shared" si="70"/>
        <v>4.0407553922860308E-2</v>
      </c>
      <c r="G616" s="70">
        <f t="shared" si="66"/>
        <v>9.9999999999997868E-3</v>
      </c>
      <c r="H616" s="60">
        <f t="shared" si="65"/>
        <v>4.0407553922859444E-4</v>
      </c>
      <c r="I616" s="60">
        <f t="shared" si="71"/>
        <v>0.98399292724635146</v>
      </c>
      <c r="J616" s="60">
        <f t="shared" si="67"/>
        <v>0.98382261662783388</v>
      </c>
    </row>
    <row r="617" spans="1:10" x14ac:dyDescent="0.3">
      <c r="A617" s="70">
        <f t="shared" si="68"/>
        <v>2.15</v>
      </c>
      <c r="B617" s="60">
        <v>0</v>
      </c>
      <c r="C617" s="70">
        <v>2.15</v>
      </c>
      <c r="D617" s="70">
        <v>1</v>
      </c>
      <c r="E617" s="71">
        <f t="shared" si="69"/>
        <v>-2.3112499999999998</v>
      </c>
      <c r="F617" s="72">
        <f t="shared" si="70"/>
        <v>3.955004158937022E-2</v>
      </c>
      <c r="G617" s="70">
        <f t="shared" si="66"/>
        <v>1.0000000000000231E-2</v>
      </c>
      <c r="H617" s="60">
        <f t="shared" si="65"/>
        <v>3.9550041589371136E-4</v>
      </c>
      <c r="I617" s="60">
        <f t="shared" si="71"/>
        <v>0.98438842766224521</v>
      </c>
      <c r="J617" s="60">
        <f t="shared" si="67"/>
        <v>0.98422239260890954</v>
      </c>
    </row>
    <row r="618" spans="1:10" x14ac:dyDescent="0.3">
      <c r="A618" s="70">
        <f t="shared" si="68"/>
        <v>2.16</v>
      </c>
      <c r="B618" s="60">
        <v>0</v>
      </c>
      <c r="C618" s="70">
        <v>2.16</v>
      </c>
      <c r="D618" s="70">
        <v>1</v>
      </c>
      <c r="E618" s="71">
        <f t="shared" si="69"/>
        <v>-2.3328000000000002</v>
      </c>
      <c r="F618" s="72">
        <f t="shared" si="70"/>
        <v>3.8706856147455608E-2</v>
      </c>
      <c r="G618" s="70">
        <f t="shared" si="66"/>
        <v>9.9999999999997868E-3</v>
      </c>
      <c r="H618" s="60">
        <f t="shared" si="65"/>
        <v>3.8706856147454781E-4</v>
      </c>
      <c r="I618" s="60">
        <f t="shared" si="71"/>
        <v>0.98477549622371974</v>
      </c>
      <c r="J618" s="60">
        <f t="shared" si="67"/>
        <v>0.98461366521607452</v>
      </c>
    </row>
    <row r="619" spans="1:10" x14ac:dyDescent="0.3">
      <c r="A619" s="70">
        <f t="shared" si="68"/>
        <v>2.17</v>
      </c>
      <c r="B619" s="60">
        <v>0</v>
      </c>
      <c r="C619" s="70">
        <v>2.17</v>
      </c>
      <c r="D619" s="70">
        <v>1</v>
      </c>
      <c r="E619" s="71">
        <f t="shared" si="69"/>
        <v>-2.3544499999999999</v>
      </c>
      <c r="F619" s="72">
        <f t="shared" si="70"/>
        <v>3.7877858986677483E-2</v>
      </c>
      <c r="G619" s="70">
        <f t="shared" si="66"/>
        <v>1.0000000000000231E-2</v>
      </c>
      <c r="H619" s="60">
        <f t="shared" si="65"/>
        <v>3.7877858986678359E-4</v>
      </c>
      <c r="I619" s="60">
        <f t="shared" si="71"/>
        <v>0.98515427481358653</v>
      </c>
      <c r="J619" s="60">
        <f t="shared" si="67"/>
        <v>0.98499657702626775</v>
      </c>
    </row>
    <row r="620" spans="1:10" x14ac:dyDescent="0.3">
      <c r="A620" s="70">
        <f t="shared" si="68"/>
        <v>2.1800000000000002</v>
      </c>
      <c r="B620" s="60">
        <v>0</v>
      </c>
      <c r="C620" s="70">
        <v>2.1800000000000002</v>
      </c>
      <c r="D620" s="70">
        <v>1</v>
      </c>
      <c r="E620" s="71">
        <f t="shared" si="69"/>
        <v>-2.3762000000000003</v>
      </c>
      <c r="F620" s="72">
        <f t="shared" si="70"/>
        <v>3.7062910247806474E-2</v>
      </c>
      <c r="G620" s="70">
        <f t="shared" si="66"/>
        <v>9.9999999999997868E-3</v>
      </c>
      <c r="H620" s="60">
        <f t="shared" si="65"/>
        <v>3.7062910247805683E-4</v>
      </c>
      <c r="I620" s="60">
        <f t="shared" si="71"/>
        <v>0.98552490391606462</v>
      </c>
      <c r="J620" s="60">
        <f t="shared" si="67"/>
        <v>0.98537126922401075</v>
      </c>
    </row>
    <row r="621" spans="1:10" x14ac:dyDescent="0.3">
      <c r="A621" s="70">
        <f t="shared" si="68"/>
        <v>2.19</v>
      </c>
      <c r="B621" s="60">
        <v>0</v>
      </c>
      <c r="C621" s="70">
        <v>2.19</v>
      </c>
      <c r="D621" s="70">
        <v>1</v>
      </c>
      <c r="E621" s="71">
        <f t="shared" si="69"/>
        <v>-2.39805</v>
      </c>
      <c r="F621" s="72">
        <f t="shared" si="70"/>
        <v>3.6261868904906222E-2</v>
      </c>
      <c r="G621" s="70">
        <f t="shared" si="66"/>
        <v>1.0000000000000231E-2</v>
      </c>
      <c r="H621" s="60">
        <f t="shared" si="65"/>
        <v>3.6261868904907061E-4</v>
      </c>
      <c r="I621" s="60">
        <f t="shared" si="71"/>
        <v>0.9858875226051137</v>
      </c>
      <c r="J621" s="60">
        <f t="shared" si="67"/>
        <v>0.98573788158933118</v>
      </c>
    </row>
    <row r="622" spans="1:10" x14ac:dyDescent="0.3">
      <c r="A622" s="70">
        <f t="shared" si="68"/>
        <v>2.2000000000000002</v>
      </c>
      <c r="B622" s="60">
        <v>0</v>
      </c>
      <c r="C622" s="70">
        <v>2.2000000000000002</v>
      </c>
      <c r="D622" s="70">
        <v>1</v>
      </c>
      <c r="E622" s="71">
        <f t="shared" si="69"/>
        <v>-2.4200000000000004</v>
      </c>
      <c r="F622" s="72">
        <f t="shared" si="70"/>
        <v>3.5474592846231424E-2</v>
      </c>
      <c r="G622" s="70">
        <f t="shared" si="66"/>
        <v>9.9999999999997868E-3</v>
      </c>
      <c r="H622" s="60">
        <f t="shared" si="65"/>
        <v>3.5474592846230666E-4</v>
      </c>
      <c r="I622" s="60">
        <f t="shared" si="71"/>
        <v>0.98624226853357599</v>
      </c>
      <c r="J622" s="60">
        <f t="shared" si="67"/>
        <v>0.98609655248650141</v>
      </c>
    </row>
    <row r="623" spans="1:10" x14ac:dyDescent="0.3">
      <c r="A623" s="70">
        <f t="shared" si="68"/>
        <v>2.21</v>
      </c>
      <c r="B623" s="60">
        <v>0</v>
      </c>
      <c r="C623" s="70">
        <v>2.21</v>
      </c>
      <c r="D623" s="70">
        <v>1</v>
      </c>
      <c r="E623" s="71">
        <f t="shared" si="69"/>
        <v>-2.4420500000000001</v>
      </c>
      <c r="F623" s="72">
        <f t="shared" si="70"/>
        <v>3.470093895391882E-2</v>
      </c>
      <c r="G623" s="70">
        <f t="shared" si="66"/>
        <v>1.0000000000000231E-2</v>
      </c>
      <c r="H623" s="60">
        <f t="shared" si="65"/>
        <v>3.4700938953919621E-4</v>
      </c>
      <c r="I623" s="60">
        <f t="shared" si="71"/>
        <v>0.98658927792311524</v>
      </c>
      <c r="J623" s="60">
        <f t="shared" si="67"/>
        <v>0.98644741885358</v>
      </c>
    </row>
    <row r="624" spans="1:10" x14ac:dyDescent="0.3">
      <c r="A624" s="70">
        <f t="shared" si="68"/>
        <v>2.2200000000000002</v>
      </c>
      <c r="B624" s="60">
        <v>0</v>
      </c>
      <c r="C624" s="70">
        <v>2.2200000000000002</v>
      </c>
      <c r="D624" s="70">
        <v>1</v>
      </c>
      <c r="E624" s="71">
        <f t="shared" si="69"/>
        <v>-2.4642000000000004</v>
      </c>
      <c r="F624" s="72">
        <f t="shared" si="70"/>
        <v>3.3940763182449186E-2</v>
      </c>
      <c r="G624" s="70">
        <f t="shared" si="66"/>
        <v>9.9999999999997868E-3</v>
      </c>
      <c r="H624" s="60">
        <f t="shared" si="65"/>
        <v>3.3940763182448462E-4</v>
      </c>
      <c r="I624" s="60">
        <f t="shared" si="71"/>
        <v>0.98692868555493973</v>
      </c>
      <c r="J624" s="60">
        <f t="shared" si="67"/>
        <v>0.98679061619274377</v>
      </c>
    </row>
    <row r="625" spans="1:10" x14ac:dyDescent="0.3">
      <c r="A625" s="70">
        <f t="shared" si="68"/>
        <v>2.23</v>
      </c>
      <c r="B625" s="60">
        <v>0</v>
      </c>
      <c r="C625" s="70">
        <v>2.23</v>
      </c>
      <c r="D625" s="70">
        <v>1</v>
      </c>
      <c r="E625" s="71">
        <f t="shared" si="69"/>
        <v>-2.48645</v>
      </c>
      <c r="F625" s="72">
        <f t="shared" si="70"/>
        <v>3.3193920635861122E-2</v>
      </c>
      <c r="G625" s="70">
        <f t="shared" si="66"/>
        <v>1.0000000000000231E-2</v>
      </c>
      <c r="H625" s="60">
        <f t="shared" si="65"/>
        <v>3.3193920635861889E-4</v>
      </c>
      <c r="I625" s="60">
        <f t="shared" si="71"/>
        <v>0.98726062476129839</v>
      </c>
      <c r="J625" s="60">
        <f t="shared" si="67"/>
        <v>0.98712627856139801</v>
      </c>
    </row>
    <row r="626" spans="1:10" x14ac:dyDescent="0.3">
      <c r="A626" s="70">
        <f t="shared" si="68"/>
        <v>2.2400000000000002</v>
      </c>
      <c r="B626" s="60">
        <v>0</v>
      </c>
      <c r="C626" s="70">
        <v>2.2400000000000002</v>
      </c>
      <c r="D626" s="70">
        <v>1</v>
      </c>
      <c r="E626" s="71">
        <f t="shared" si="69"/>
        <v>-2.5088000000000004</v>
      </c>
      <c r="F626" s="72">
        <f t="shared" si="70"/>
        <v>3.2460265643697445E-2</v>
      </c>
      <c r="G626" s="70">
        <f t="shared" si="66"/>
        <v>9.9999999999997868E-3</v>
      </c>
      <c r="H626" s="60">
        <f t="shared" si="65"/>
        <v>3.2460265643696751E-4</v>
      </c>
      <c r="I626" s="60">
        <f t="shared" si="71"/>
        <v>0.98758522741773536</v>
      </c>
      <c r="J626" s="60">
        <f t="shared" si="67"/>
        <v>0.98745453856405341</v>
      </c>
    </row>
    <row r="627" spans="1:10" x14ac:dyDescent="0.3">
      <c r="A627" s="70">
        <f t="shared" si="68"/>
        <v>2.25</v>
      </c>
      <c r="B627" s="60">
        <v>0</v>
      </c>
      <c r="C627" s="70">
        <v>2.25</v>
      </c>
      <c r="D627" s="70">
        <v>1</v>
      </c>
      <c r="E627" s="71">
        <f t="shared" si="69"/>
        <v>-2.53125</v>
      </c>
      <c r="F627" s="72">
        <f t="shared" si="70"/>
        <v>3.1739651835667418E-2</v>
      </c>
      <c r="G627" s="70">
        <f t="shared" si="66"/>
        <v>9.9999999999997868E-3</v>
      </c>
      <c r="H627" s="60">
        <f t="shared" si="65"/>
        <v>3.1739651835666744E-4</v>
      </c>
      <c r="I627" s="60">
        <f t="shared" si="71"/>
        <v>0.98790262393609207</v>
      </c>
      <c r="J627" s="60">
        <f t="shared" si="67"/>
        <v>0.98777552734495533</v>
      </c>
    </row>
    <row r="628" spans="1:10" x14ac:dyDescent="0.3">
      <c r="A628" s="70">
        <f t="shared" si="68"/>
        <v>2.2599999999999998</v>
      </c>
      <c r="B628" s="60">
        <v>0</v>
      </c>
      <c r="C628" s="70">
        <v>2.2599999999999998</v>
      </c>
      <c r="D628" s="70">
        <v>1</v>
      </c>
      <c r="E628" s="71">
        <f t="shared" si="69"/>
        <v>-2.5537999999999994</v>
      </c>
      <c r="F628" s="72">
        <f t="shared" si="70"/>
        <v>3.103193221500827E-2</v>
      </c>
      <c r="G628" s="70">
        <f t="shared" si="66"/>
        <v>1.0000000000000231E-2</v>
      </c>
      <c r="H628" s="60">
        <f t="shared" si="65"/>
        <v>3.1031932215008984E-4</v>
      </c>
      <c r="I628" s="60">
        <f t="shared" si="71"/>
        <v>0.98821294325824216</v>
      </c>
      <c r="J628" s="60">
        <f t="shared" si="67"/>
        <v>0.98808937458145296</v>
      </c>
    </row>
    <row r="629" spans="1:10" x14ac:dyDescent="0.3">
      <c r="A629" s="70">
        <f t="shared" si="68"/>
        <v>2.27</v>
      </c>
      <c r="B629" s="60">
        <v>0</v>
      </c>
      <c r="C629" s="70">
        <v>2.27</v>
      </c>
      <c r="D629" s="70">
        <v>1</v>
      </c>
      <c r="E629" s="71">
        <f t="shared" si="69"/>
        <v>-2.5764499999999999</v>
      </c>
      <c r="F629" s="72">
        <f t="shared" si="70"/>
        <v>3.0336959230531636E-2</v>
      </c>
      <c r="G629" s="70">
        <f t="shared" si="66"/>
        <v>9.9999999999997868E-3</v>
      </c>
      <c r="H629" s="60">
        <f t="shared" si="65"/>
        <v>3.0336959230530989E-4</v>
      </c>
      <c r="I629" s="60">
        <f t="shared" si="71"/>
        <v>0.98851631285054742</v>
      </c>
      <c r="J629" s="60">
        <f t="shared" si="67"/>
        <v>0.98839620847809651</v>
      </c>
    </row>
    <row r="630" spans="1:10" x14ac:dyDescent="0.3">
      <c r="A630" s="70">
        <f t="shared" si="68"/>
        <v>2.2799999999999998</v>
      </c>
      <c r="B630" s="60">
        <v>0</v>
      </c>
      <c r="C630" s="70">
        <v>2.2799999999999998</v>
      </c>
      <c r="D630" s="70">
        <v>1</v>
      </c>
      <c r="E630" s="71">
        <f t="shared" si="69"/>
        <v>-2.5991999999999997</v>
      </c>
      <c r="F630" s="72">
        <f t="shared" si="70"/>
        <v>2.9654584847341278E-2</v>
      </c>
      <c r="G630" s="70">
        <f t="shared" si="66"/>
        <v>1.0000000000000231E-2</v>
      </c>
      <c r="H630" s="60">
        <f t="shared" si="65"/>
        <v>2.9654584847341962E-4</v>
      </c>
      <c r="I630" s="60">
        <f t="shared" si="71"/>
        <v>0.9888128586990208</v>
      </c>
      <c r="J630" s="60">
        <f t="shared" si="67"/>
        <v>0.9886961557614472</v>
      </c>
    </row>
    <row r="631" spans="1:10" x14ac:dyDescent="0.3">
      <c r="A631" s="70">
        <f t="shared" si="68"/>
        <v>2.29</v>
      </c>
      <c r="B631" s="60">
        <v>0</v>
      </c>
      <c r="C631" s="70">
        <v>2.29</v>
      </c>
      <c r="D631" s="70">
        <v>1</v>
      </c>
      <c r="E631" s="71">
        <f t="shared" si="69"/>
        <v>-2.6220500000000002</v>
      </c>
      <c r="F631" s="72">
        <f t="shared" si="70"/>
        <v>2.8984660616209412E-2</v>
      </c>
      <c r="G631" s="70">
        <f t="shared" si="66"/>
        <v>9.9999999999997868E-3</v>
      </c>
      <c r="H631" s="60">
        <f t="shared" si="65"/>
        <v>2.8984660616208793E-4</v>
      </c>
      <c r="I631" s="60">
        <f t="shared" si="71"/>
        <v>0.98910270530518285</v>
      </c>
      <c r="J631" s="60">
        <f t="shared" si="67"/>
        <v>0.98898934167558861</v>
      </c>
    </row>
    <row r="632" spans="1:10" x14ac:dyDescent="0.3">
      <c r="A632" s="70">
        <f t="shared" si="68"/>
        <v>2.2999999999999998</v>
      </c>
      <c r="B632" s="60">
        <v>0</v>
      </c>
      <c r="C632" s="70">
        <v>2.2999999999999998</v>
      </c>
      <c r="D632" s="70">
        <v>1</v>
      </c>
      <c r="E632" s="71">
        <f t="shared" si="69"/>
        <v>-2.6449999999999996</v>
      </c>
      <c r="F632" s="72">
        <f t="shared" si="70"/>
        <v>2.8327037741601186E-2</v>
      </c>
      <c r="G632" s="70">
        <f t="shared" si="66"/>
        <v>1.0000000000000231E-2</v>
      </c>
      <c r="H632" s="60">
        <f t="shared" si="65"/>
        <v>2.8327037741601838E-4</v>
      </c>
      <c r="I632" s="60">
        <f t="shared" si="71"/>
        <v>0.98938597568259889</v>
      </c>
      <c r="J632" s="60">
        <f t="shared" si="67"/>
        <v>0.98927588997832416</v>
      </c>
    </row>
    <row r="633" spans="1:10" x14ac:dyDescent="0.3">
      <c r="A633" s="70">
        <f t="shared" si="68"/>
        <v>2.31</v>
      </c>
      <c r="B633" s="60">
        <v>0</v>
      </c>
      <c r="C633" s="70">
        <v>2.31</v>
      </c>
      <c r="D633" s="70">
        <v>1</v>
      </c>
      <c r="E633" s="71">
        <f t="shared" si="69"/>
        <v>-2.66805</v>
      </c>
      <c r="F633" s="72">
        <f t="shared" si="70"/>
        <v>2.7681567148336573E-2</v>
      </c>
      <c r="G633" s="70">
        <f t="shared" si="66"/>
        <v>9.9999999999997868E-3</v>
      </c>
      <c r="H633" s="60">
        <f t="shared" si="65"/>
        <v>2.7681567148335983E-4</v>
      </c>
      <c r="I633" s="60">
        <f t="shared" si="71"/>
        <v>0.98966279135408231</v>
      </c>
      <c r="J633" s="60">
        <f t="shared" si="67"/>
        <v>0.98955592293804895</v>
      </c>
    </row>
    <row r="634" spans="1:10" x14ac:dyDescent="0.3">
      <c r="A634" s="70">
        <f t="shared" si="68"/>
        <v>2.3199999999999998</v>
      </c>
      <c r="B634" s="60">
        <v>0</v>
      </c>
      <c r="C634" s="70">
        <v>2.3199999999999998</v>
      </c>
      <c r="D634" s="70">
        <v>1</v>
      </c>
      <c r="E634" s="71">
        <f t="shared" si="69"/>
        <v>-2.6911999999999998</v>
      </c>
      <c r="F634" s="72">
        <f t="shared" si="70"/>
        <v>2.7048099546881785E-2</v>
      </c>
      <c r="G634" s="70">
        <f t="shared" si="66"/>
        <v>1.0000000000000231E-2</v>
      </c>
      <c r="H634" s="60">
        <f t="shared" si="65"/>
        <v>2.704809954688241E-4</v>
      </c>
      <c r="I634" s="60">
        <f t="shared" si="71"/>
        <v>0.98993327234955109</v>
      </c>
      <c r="J634" s="60">
        <f t="shared" si="67"/>
        <v>0.98982956133128031</v>
      </c>
    </row>
    <row r="635" spans="1:10" x14ac:dyDescent="0.3">
      <c r="A635" s="70">
        <f t="shared" si="68"/>
        <v>2.33</v>
      </c>
      <c r="B635" s="60">
        <v>0</v>
      </c>
      <c r="C635" s="70">
        <v>2.33</v>
      </c>
      <c r="D635" s="70">
        <v>1</v>
      </c>
      <c r="E635" s="71">
        <f t="shared" si="69"/>
        <v>-2.7144500000000003</v>
      </c>
      <c r="F635" s="72">
        <f t="shared" si="70"/>
        <v>2.6426485497261721E-2</v>
      </c>
      <c r="G635" s="70">
        <f t="shared" si="66"/>
        <v>9.9999999999997868E-3</v>
      </c>
      <c r="H635" s="60">
        <f t="shared" si="65"/>
        <v>2.6426485497261159E-4</v>
      </c>
      <c r="I635" s="60">
        <f t="shared" si="71"/>
        <v>0.99019753720452375</v>
      </c>
      <c r="J635" s="60">
        <f t="shared" si="67"/>
        <v>0.99009692444083575</v>
      </c>
    </row>
    <row r="636" spans="1:10" x14ac:dyDescent="0.3">
      <c r="A636" s="70">
        <f t="shared" si="68"/>
        <v>2.34</v>
      </c>
      <c r="B636" s="60">
        <v>0</v>
      </c>
      <c r="C636" s="70">
        <v>2.34</v>
      </c>
      <c r="D636" s="70">
        <v>1</v>
      </c>
      <c r="E636" s="71">
        <f t="shared" si="69"/>
        <v>-2.7377999999999996</v>
      </c>
      <c r="F636" s="72">
        <f t="shared" si="70"/>
        <v>2.581657547158769E-2</v>
      </c>
      <c r="G636" s="70">
        <f t="shared" si="66"/>
        <v>1.0000000000000231E-2</v>
      </c>
      <c r="H636" s="60">
        <f t="shared" si="65"/>
        <v>2.5816575471588287E-4</v>
      </c>
      <c r="I636" s="60">
        <f t="shared" si="71"/>
        <v>0.99045570295923968</v>
      </c>
      <c r="J636" s="60">
        <f t="shared" si="67"/>
        <v>0.99035813005464168</v>
      </c>
    </row>
    <row r="637" spans="1:10" x14ac:dyDescent="0.3">
      <c r="A637" s="70">
        <f t="shared" si="68"/>
        <v>2.35</v>
      </c>
      <c r="B637" s="60">
        <v>0</v>
      </c>
      <c r="C637" s="70">
        <v>2.35</v>
      </c>
      <c r="D637" s="70">
        <v>1</v>
      </c>
      <c r="E637" s="71">
        <f t="shared" si="69"/>
        <v>-2.7612500000000004</v>
      </c>
      <c r="F637" s="72">
        <f t="shared" si="70"/>
        <v>2.5218219915194382E-2</v>
      </c>
      <c r="G637" s="70">
        <f t="shared" si="66"/>
        <v>9.9999999999997868E-3</v>
      </c>
      <c r="H637" s="60">
        <f t="shared" si="65"/>
        <v>2.5218219915193842E-4</v>
      </c>
      <c r="I637" s="60">
        <f t="shared" si="71"/>
        <v>0.99070788515839159</v>
      </c>
      <c r="J637" s="60">
        <f t="shared" si="67"/>
        <v>0.99061329446516144</v>
      </c>
    </row>
    <row r="638" spans="1:10" x14ac:dyDescent="0.3">
      <c r="A638" s="70">
        <f t="shared" si="68"/>
        <v>2.36</v>
      </c>
      <c r="B638" s="60">
        <v>0</v>
      </c>
      <c r="C638" s="70">
        <v>2.36</v>
      </c>
      <c r="D638" s="70">
        <v>1</v>
      </c>
      <c r="E638" s="71">
        <f t="shared" si="69"/>
        <v>-2.7847999999999997</v>
      </c>
      <c r="F638" s="72">
        <f t="shared" si="70"/>
        <v>2.4631269306382507E-2</v>
      </c>
      <c r="G638" s="70">
        <f t="shared" si="66"/>
        <v>1.0000000000000231E-2</v>
      </c>
      <c r="H638" s="60">
        <f t="shared" si="65"/>
        <v>2.4631269306383077E-4</v>
      </c>
      <c r="I638" s="60">
        <f t="shared" si="71"/>
        <v>0.99095419785145544</v>
      </c>
      <c r="J638" s="60">
        <f t="shared" si="67"/>
        <v>0.99086253246942735</v>
      </c>
    </row>
    <row r="639" spans="1:10" x14ac:dyDescent="0.3">
      <c r="A639" s="70">
        <f t="shared" si="68"/>
        <v>2.37</v>
      </c>
      <c r="B639" s="60">
        <v>0</v>
      </c>
      <c r="C639" s="70">
        <v>2.37</v>
      </c>
      <c r="D639" s="70">
        <v>1</v>
      </c>
      <c r="E639" s="71">
        <f t="shared" si="69"/>
        <v>-2.8084500000000001</v>
      </c>
      <c r="F639" s="72">
        <f t="shared" si="70"/>
        <v>2.4055574214762971E-2</v>
      </c>
      <c r="G639" s="70">
        <f t="shared" si="66"/>
        <v>9.9999999999997868E-3</v>
      </c>
      <c r="H639" s="60">
        <f t="shared" si="65"/>
        <v>2.4055574214762459E-4</v>
      </c>
      <c r="I639" s="60">
        <f t="shared" si="71"/>
        <v>0.9911947535936031</v>
      </c>
      <c r="J639" s="60">
        <f t="shared" si="67"/>
        <v>0.99110595736966323</v>
      </c>
    </row>
    <row r="640" spans="1:10" x14ac:dyDescent="0.3">
      <c r="A640" s="70">
        <f t="shared" si="68"/>
        <v>2.38</v>
      </c>
      <c r="B640" s="60">
        <v>0</v>
      </c>
      <c r="C640" s="70">
        <v>2.38</v>
      </c>
      <c r="D640" s="70">
        <v>1</v>
      </c>
      <c r="E640" s="71">
        <f t="shared" si="69"/>
        <v>-2.8321999999999998</v>
      </c>
      <c r="F640" s="72">
        <f t="shared" si="70"/>
        <v>2.3490985358201363E-2</v>
      </c>
      <c r="G640" s="70">
        <f t="shared" si="66"/>
        <v>1.0000000000000231E-2</v>
      </c>
      <c r="H640" s="60">
        <f t="shared" ref="H640:H703" si="72">F640*G640</f>
        <v>2.3490985358201906E-4</v>
      </c>
      <c r="I640" s="60">
        <f t="shared" si="71"/>
        <v>0.99142966344718508</v>
      </c>
      <c r="J640" s="60">
        <f t="shared" si="67"/>
        <v>0.99134368097448344</v>
      </c>
    </row>
    <row r="641" spans="1:10" x14ac:dyDescent="0.3">
      <c r="A641" s="70">
        <f t="shared" si="68"/>
        <v>2.39</v>
      </c>
      <c r="B641" s="60">
        <v>0</v>
      </c>
      <c r="C641" s="70">
        <v>2.39</v>
      </c>
      <c r="D641" s="70">
        <v>1</v>
      </c>
      <c r="E641" s="71">
        <f t="shared" si="69"/>
        <v>-2.8560500000000002</v>
      </c>
      <c r="F641" s="72">
        <f t="shared" si="70"/>
        <v>2.2937353658360693E-2</v>
      </c>
      <c r="G641" s="70">
        <f t="shared" si="66"/>
        <v>9.9999999999997868E-3</v>
      </c>
      <c r="H641" s="60">
        <f t="shared" si="72"/>
        <v>2.2937353658360204E-4</v>
      </c>
      <c r="I641" s="60">
        <f t="shared" si="71"/>
        <v>0.99165903698376867</v>
      </c>
      <c r="J641" s="60">
        <f t="shared" si="67"/>
        <v>0.99157581360065428</v>
      </c>
    </row>
    <row r="642" spans="1:10" x14ac:dyDescent="0.3">
      <c r="A642" s="70">
        <f t="shared" si="68"/>
        <v>2.4</v>
      </c>
      <c r="B642" s="60">
        <v>0</v>
      </c>
      <c r="C642" s="70">
        <v>2.4</v>
      </c>
      <c r="D642" s="70">
        <v>1</v>
      </c>
      <c r="E642" s="71">
        <f t="shared" si="69"/>
        <v>-2.88</v>
      </c>
      <c r="F642" s="72">
        <f t="shared" si="70"/>
        <v>2.2394530294842899E-2</v>
      </c>
      <c r="G642" s="70">
        <f t="shared" ref="G642:G705" si="73">C643-C642</f>
        <v>1.0000000000000231E-2</v>
      </c>
      <c r="H642" s="60">
        <f t="shared" si="72"/>
        <v>2.2394530294843416E-4</v>
      </c>
      <c r="I642" s="60">
        <f t="shared" si="71"/>
        <v>0.99188298228671712</v>
      </c>
      <c r="J642" s="60">
        <f t="shared" ref="J642:J705" si="74">NORMSDIST(C642)</f>
        <v>0.99180246407540384</v>
      </c>
    </row>
    <row r="643" spans="1:10" x14ac:dyDescent="0.3">
      <c r="A643" s="70">
        <f t="shared" ref="A643:A706" si="75">B643+C643</f>
        <v>2.41</v>
      </c>
      <c r="B643" s="60">
        <v>0</v>
      </c>
      <c r="C643" s="70">
        <v>2.41</v>
      </c>
      <c r="D643" s="70">
        <v>1</v>
      </c>
      <c r="E643" s="71">
        <f t="shared" ref="E643:E706" si="76">-(A643-B643)*(A643-B643)/2</f>
        <v>-2.9040500000000002</v>
      </c>
      <c r="F643" s="72">
        <f t="shared" ref="F643:F706" si="77">(1/SQRT(2*PI()))*(EXP(E643))</f>
        <v>2.1862366757929387E-2</v>
      </c>
      <c r="G643" s="70">
        <f t="shared" si="73"/>
        <v>9.9999999999997868E-3</v>
      </c>
      <c r="H643" s="60">
        <f t="shared" si="72"/>
        <v>2.1862366757928922E-4</v>
      </c>
      <c r="I643" s="60">
        <f t="shared" si="71"/>
        <v>0.99210160595429642</v>
      </c>
      <c r="J643" s="60">
        <f t="shared" si="74"/>
        <v>0.99202373973926627</v>
      </c>
    </row>
    <row r="644" spans="1:10" x14ac:dyDescent="0.3">
      <c r="A644" s="70">
        <f t="shared" si="75"/>
        <v>2.42</v>
      </c>
      <c r="B644" s="60">
        <v>0</v>
      </c>
      <c r="C644" s="70">
        <v>2.42</v>
      </c>
      <c r="D644" s="70">
        <v>1</v>
      </c>
      <c r="E644" s="71">
        <f t="shared" si="76"/>
        <v>-2.9281999999999999</v>
      </c>
      <c r="F644" s="72">
        <f t="shared" si="77"/>
        <v>2.1340714899922782E-2</v>
      </c>
      <c r="G644" s="70">
        <f t="shared" si="73"/>
        <v>1.0000000000000231E-2</v>
      </c>
      <c r="H644" s="60">
        <f t="shared" si="72"/>
        <v>2.1340714899923275E-4</v>
      </c>
      <c r="I644" s="60">
        <f t="shared" si="71"/>
        <v>0.99231501310329562</v>
      </c>
      <c r="J644" s="60">
        <f t="shared" si="74"/>
        <v>0.99223974644944635</v>
      </c>
    </row>
    <row r="645" spans="1:10" x14ac:dyDescent="0.3">
      <c r="A645" s="70">
        <f t="shared" si="75"/>
        <v>2.4300000000000002</v>
      </c>
      <c r="B645" s="60">
        <v>0</v>
      </c>
      <c r="C645" s="70">
        <v>2.4300000000000002</v>
      </c>
      <c r="D645" s="70">
        <v>1</v>
      </c>
      <c r="E645" s="71">
        <f t="shared" si="76"/>
        <v>-2.9524500000000002</v>
      </c>
      <c r="F645" s="72">
        <f t="shared" si="77"/>
        <v>2.0829426985092186E-2</v>
      </c>
      <c r="G645" s="70">
        <f t="shared" si="73"/>
        <v>9.9999999999997868E-3</v>
      </c>
      <c r="H645" s="60">
        <f t="shared" si="72"/>
        <v>2.0829426985091742E-4</v>
      </c>
      <c r="I645" s="60">
        <f t="shared" si="71"/>
        <v>0.99252330737314653</v>
      </c>
      <c r="J645" s="60">
        <f t="shared" si="74"/>
        <v>0.99245058858369084</v>
      </c>
    </row>
    <row r="646" spans="1:10" x14ac:dyDescent="0.3">
      <c r="A646" s="70">
        <f t="shared" si="75"/>
        <v>2.44</v>
      </c>
      <c r="B646" s="60">
        <v>0</v>
      </c>
      <c r="C646" s="70">
        <v>2.44</v>
      </c>
      <c r="D646" s="70">
        <v>1</v>
      </c>
      <c r="E646" s="71">
        <f t="shared" si="76"/>
        <v>-2.9767999999999999</v>
      </c>
      <c r="F646" s="72">
        <f t="shared" si="77"/>
        <v>2.0328355738225837E-2</v>
      </c>
      <c r="G646" s="70">
        <f t="shared" si="73"/>
        <v>1.0000000000000231E-2</v>
      </c>
      <c r="H646" s="60">
        <f t="shared" si="72"/>
        <v>2.0328355738226308E-4</v>
      </c>
      <c r="I646" s="60">
        <f t="shared" si="71"/>
        <v>0.99272659093052884</v>
      </c>
      <c r="J646" s="60">
        <f t="shared" si="74"/>
        <v>0.99265636904465171</v>
      </c>
    </row>
    <row r="647" spans="1:10" x14ac:dyDescent="0.3">
      <c r="A647" s="70">
        <f t="shared" si="75"/>
        <v>2.4500000000000002</v>
      </c>
      <c r="B647" s="60">
        <v>0</v>
      </c>
      <c r="C647" s="70">
        <v>2.4500000000000002</v>
      </c>
      <c r="D647" s="70">
        <v>1</v>
      </c>
      <c r="E647" s="71">
        <f t="shared" si="76"/>
        <v>-3.0012500000000006</v>
      </c>
      <c r="F647" s="72">
        <f t="shared" si="77"/>
        <v>1.9837354391795313E-2</v>
      </c>
      <c r="G647" s="70">
        <f t="shared" si="73"/>
        <v>9.9999999999997868E-3</v>
      </c>
      <c r="H647" s="60">
        <f t="shared" si="72"/>
        <v>1.9837354391794891E-4</v>
      </c>
      <c r="I647" s="60">
        <f t="shared" si="71"/>
        <v>0.99292496447444678</v>
      </c>
      <c r="J647" s="60">
        <f t="shared" si="74"/>
        <v>0.99285718926472855</v>
      </c>
    </row>
    <row r="648" spans="1:10" x14ac:dyDescent="0.3">
      <c r="A648" s="70">
        <f t="shared" si="75"/>
        <v>2.46</v>
      </c>
      <c r="B648" s="60">
        <v>0</v>
      </c>
      <c r="C648" s="70">
        <v>2.46</v>
      </c>
      <c r="D648" s="70">
        <v>1</v>
      </c>
      <c r="E648" s="71">
        <f t="shared" si="76"/>
        <v>-3.0257999999999998</v>
      </c>
      <c r="F648" s="72">
        <f t="shared" si="77"/>
        <v>1.9356276731736961E-2</v>
      </c>
      <c r="G648" s="70">
        <f t="shared" si="73"/>
        <v>1.0000000000000231E-2</v>
      </c>
      <c r="H648" s="60">
        <f t="shared" si="72"/>
        <v>1.935627673173741E-4</v>
      </c>
      <c r="I648" s="60">
        <f t="shared" si="71"/>
        <v>0.99311852724176419</v>
      </c>
      <c r="J648" s="60">
        <f t="shared" si="74"/>
        <v>0.99305314921137566</v>
      </c>
    </row>
    <row r="649" spans="1:10" x14ac:dyDescent="0.3">
      <c r="A649" s="70">
        <f t="shared" si="75"/>
        <v>2.4700000000000002</v>
      </c>
      <c r="B649" s="60">
        <v>0</v>
      </c>
      <c r="C649" s="70">
        <v>2.4700000000000002</v>
      </c>
      <c r="D649" s="70">
        <v>1</v>
      </c>
      <c r="E649" s="71">
        <f t="shared" si="76"/>
        <v>-3.0504500000000005</v>
      </c>
      <c r="F649" s="72">
        <f t="shared" si="77"/>
        <v>1.8884977141856163E-2</v>
      </c>
      <c r="G649" s="70">
        <f t="shared" si="73"/>
        <v>9.9999999999997868E-3</v>
      </c>
      <c r="H649" s="60">
        <f t="shared" si="72"/>
        <v>1.8884977141855761E-4</v>
      </c>
      <c r="I649" s="60">
        <f t="shared" si="71"/>
        <v>0.99330737701318272</v>
      </c>
      <c r="J649" s="60">
        <f t="shared" si="74"/>
        <v>0.99324434739285938</v>
      </c>
    </row>
    <row r="650" spans="1:10" x14ac:dyDescent="0.3">
      <c r="A650" s="70">
        <f t="shared" si="75"/>
        <v>2.48</v>
      </c>
      <c r="B650" s="60">
        <v>0</v>
      </c>
      <c r="C650" s="70">
        <v>2.48</v>
      </c>
      <c r="D650" s="70">
        <v>1</v>
      </c>
      <c r="E650" s="71">
        <f t="shared" si="76"/>
        <v>-3.0752000000000002</v>
      </c>
      <c r="F650" s="72">
        <f t="shared" si="77"/>
        <v>1.8423310646862048E-2</v>
      </c>
      <c r="G650" s="70">
        <f t="shared" si="73"/>
        <v>1.0000000000000231E-2</v>
      </c>
      <c r="H650" s="60">
        <f t="shared" si="72"/>
        <v>1.8423310646862472E-4</v>
      </c>
      <c r="I650" s="60">
        <f t="shared" si="71"/>
        <v>0.99349161011965137</v>
      </c>
      <c r="J650" s="60">
        <f t="shared" si="74"/>
        <v>0.99343088086445319</v>
      </c>
    </row>
    <row r="651" spans="1:10" x14ac:dyDescent="0.3">
      <c r="A651" s="70">
        <f t="shared" si="75"/>
        <v>2.4900000000000002</v>
      </c>
      <c r="B651" s="60">
        <v>0</v>
      </c>
      <c r="C651" s="70">
        <v>2.4900000000000002</v>
      </c>
      <c r="D651" s="70">
        <v>1</v>
      </c>
      <c r="E651" s="71">
        <f t="shared" si="76"/>
        <v>-3.1000500000000004</v>
      </c>
      <c r="F651" s="72">
        <f t="shared" si="77"/>
        <v>1.7971132954039633E-2</v>
      </c>
      <c r="G651" s="70">
        <f t="shared" si="73"/>
        <v>9.9999999999997868E-3</v>
      </c>
      <c r="H651" s="60">
        <f t="shared" si="72"/>
        <v>1.7971132954039249E-4</v>
      </c>
      <c r="I651" s="60">
        <f t="shared" si="71"/>
        <v>0.99367132144919179</v>
      </c>
      <c r="J651" s="60">
        <f t="shared" si="74"/>
        <v>0.99361284523505677</v>
      </c>
    </row>
    <row r="652" spans="1:10" x14ac:dyDescent="0.3">
      <c r="A652" s="70">
        <f t="shared" si="75"/>
        <v>2.5</v>
      </c>
      <c r="B652" s="60">
        <v>0</v>
      </c>
      <c r="C652" s="70">
        <v>2.5</v>
      </c>
      <c r="D652" s="70">
        <v>1</v>
      </c>
      <c r="E652" s="71">
        <f t="shared" si="76"/>
        <v>-3.125</v>
      </c>
      <c r="F652" s="72">
        <f t="shared" si="77"/>
        <v>1.752830049356854E-2</v>
      </c>
      <c r="G652" s="70">
        <f t="shared" si="73"/>
        <v>9.9999999999997868E-3</v>
      </c>
      <c r="H652" s="60">
        <f t="shared" si="72"/>
        <v>1.7528300493568167E-4</v>
      </c>
      <c r="I652" s="60">
        <f t="shared" si="71"/>
        <v>0.99384660445412742</v>
      </c>
      <c r="J652" s="60">
        <f t="shared" si="74"/>
        <v>0.99379033467422384</v>
      </c>
    </row>
    <row r="653" spans="1:10" x14ac:dyDescent="0.3">
      <c r="A653" s="70">
        <f t="shared" si="75"/>
        <v>2.5099999999999998</v>
      </c>
      <c r="B653" s="60">
        <v>0</v>
      </c>
      <c r="C653" s="70">
        <v>2.5099999999999998</v>
      </c>
      <c r="D653" s="70">
        <v>1</v>
      </c>
      <c r="E653" s="71">
        <f t="shared" si="76"/>
        <v>-3.1500499999999994</v>
      </c>
      <c r="F653" s="72">
        <f t="shared" si="77"/>
        <v>1.7094670457496956E-2</v>
      </c>
      <c r="G653" s="70">
        <f t="shared" si="73"/>
        <v>1.0000000000000231E-2</v>
      </c>
      <c r="H653" s="60">
        <f t="shared" si="72"/>
        <v>1.7094670457497351E-4</v>
      </c>
      <c r="I653" s="60">
        <f t="shared" si="71"/>
        <v>0.99401755115870238</v>
      </c>
      <c r="J653" s="60">
        <f t="shared" si="74"/>
        <v>0.9939634419195873</v>
      </c>
    </row>
    <row r="654" spans="1:10" x14ac:dyDescent="0.3">
      <c r="A654" s="70">
        <f t="shared" si="75"/>
        <v>2.52</v>
      </c>
      <c r="B654" s="60">
        <v>0</v>
      </c>
      <c r="C654" s="70">
        <v>2.52</v>
      </c>
      <c r="D654" s="70">
        <v>1</v>
      </c>
      <c r="E654" s="71">
        <f t="shared" si="76"/>
        <v>-3.1752000000000002</v>
      </c>
      <c r="F654" s="72">
        <f t="shared" si="77"/>
        <v>1.6670100837381057E-2</v>
      </c>
      <c r="G654" s="70">
        <f t="shared" si="73"/>
        <v>9.9999999999997868E-3</v>
      </c>
      <c r="H654" s="60">
        <f t="shared" si="72"/>
        <v>1.6670100837380702E-4</v>
      </c>
      <c r="I654" s="60">
        <f t="shared" si="71"/>
        <v>0.99418425216707618</v>
      </c>
      <c r="J654" s="60">
        <f t="shared" si="74"/>
        <v>0.99413225828466745</v>
      </c>
    </row>
    <row r="655" spans="1:10" x14ac:dyDescent="0.3">
      <c r="A655" s="70">
        <f t="shared" si="75"/>
        <v>2.5299999999999998</v>
      </c>
      <c r="B655" s="60">
        <v>0</v>
      </c>
      <c r="C655" s="70">
        <v>2.5299999999999998</v>
      </c>
      <c r="D655" s="70">
        <v>1</v>
      </c>
      <c r="E655" s="71">
        <f t="shared" si="76"/>
        <v>-3.2004499999999996</v>
      </c>
      <c r="F655" s="72">
        <f t="shared" si="77"/>
        <v>1.6254450460600506E-2</v>
      </c>
      <c r="G655" s="70">
        <f t="shared" si="73"/>
        <v>1.0000000000000231E-2</v>
      </c>
      <c r="H655" s="60">
        <f t="shared" si="72"/>
        <v>1.6254450460600881E-4</v>
      </c>
      <c r="I655" s="60">
        <f t="shared" si="71"/>
        <v>0.99434679667168213</v>
      </c>
      <c r="J655" s="60">
        <f t="shared" si="74"/>
        <v>0.99429687366704933</v>
      </c>
    </row>
    <row r="656" spans="1:10" x14ac:dyDescent="0.3">
      <c r="A656" s="70">
        <f t="shared" si="75"/>
        <v>2.54</v>
      </c>
      <c r="B656" s="60">
        <v>0</v>
      </c>
      <c r="C656" s="70">
        <v>2.54</v>
      </c>
      <c r="D656" s="70">
        <v>1</v>
      </c>
      <c r="E656" s="71">
        <f t="shared" si="76"/>
        <v>-3.2258</v>
      </c>
      <c r="F656" s="72">
        <f t="shared" si="77"/>
        <v>1.5847579025360818E-2</v>
      </c>
      <c r="G656" s="70">
        <f t="shared" si="73"/>
        <v>9.9999999999997868E-3</v>
      </c>
      <c r="H656" s="60">
        <f t="shared" si="72"/>
        <v>1.5847579025360481E-4</v>
      </c>
      <c r="I656" s="60">
        <f t="shared" si="71"/>
        <v>0.99450527246193576</v>
      </c>
      <c r="J656" s="60">
        <f t="shared" si="74"/>
        <v>0.99445737655691735</v>
      </c>
    </row>
    <row r="657" spans="1:10" x14ac:dyDescent="0.3">
      <c r="A657" s="70">
        <f t="shared" si="75"/>
        <v>2.5499999999999998</v>
      </c>
      <c r="B657" s="60">
        <v>0</v>
      </c>
      <c r="C657" s="70">
        <v>2.5499999999999998</v>
      </c>
      <c r="D657" s="70">
        <v>1</v>
      </c>
      <c r="E657" s="71">
        <f t="shared" si="76"/>
        <v>-3.2512499999999998</v>
      </c>
      <c r="F657" s="72">
        <f t="shared" si="77"/>
        <v>1.5449347134395174E-2</v>
      </c>
      <c r="G657" s="70">
        <f t="shared" si="73"/>
        <v>1.0000000000000231E-2</v>
      </c>
      <c r="H657" s="60">
        <f t="shared" si="72"/>
        <v>1.5449347134395531E-4</v>
      </c>
      <c r="I657" s="60">
        <f t="shared" si="71"/>
        <v>0.99465976593327976</v>
      </c>
      <c r="J657" s="60">
        <f t="shared" si="74"/>
        <v>0.99461385404593328</v>
      </c>
    </row>
    <row r="658" spans="1:10" x14ac:dyDescent="0.3">
      <c r="A658" s="70">
        <f t="shared" si="75"/>
        <v>2.56</v>
      </c>
      <c r="B658" s="60">
        <v>0</v>
      </c>
      <c r="C658" s="70">
        <v>2.56</v>
      </c>
      <c r="D658" s="70">
        <v>1</v>
      </c>
      <c r="E658" s="71">
        <f t="shared" si="76"/>
        <v>-3.2768000000000002</v>
      </c>
      <c r="F658" s="72">
        <f t="shared" si="77"/>
        <v>1.5059616327377449E-2</v>
      </c>
      <c r="G658" s="70">
        <f t="shared" si="73"/>
        <v>9.9999999999997868E-3</v>
      </c>
      <c r="H658" s="60">
        <f t="shared" si="72"/>
        <v>1.5059616327377129E-4</v>
      </c>
      <c r="I658" s="60">
        <f t="shared" si="71"/>
        <v>0.99481036209655349</v>
      </c>
      <c r="J658" s="60">
        <f t="shared" si="74"/>
        <v>0.99476639183644422</v>
      </c>
    </row>
    <row r="659" spans="1:10" x14ac:dyDescent="0.3">
      <c r="A659" s="70">
        <f t="shared" si="75"/>
        <v>2.57</v>
      </c>
      <c r="B659" s="60">
        <v>0</v>
      </c>
      <c r="C659" s="70">
        <v>2.57</v>
      </c>
      <c r="D659" s="70">
        <v>1</v>
      </c>
      <c r="E659" s="71">
        <f t="shared" si="76"/>
        <v>-3.3024499999999994</v>
      </c>
      <c r="F659" s="72">
        <f t="shared" si="77"/>
        <v>1.4678249112060044E-2</v>
      </c>
      <c r="G659" s="70">
        <f t="shared" si="73"/>
        <v>1.0000000000000231E-2</v>
      </c>
      <c r="H659" s="60">
        <f t="shared" si="72"/>
        <v>1.4678249112060383E-4</v>
      </c>
      <c r="I659" s="60">
        <f t="shared" ref="I659:I722" si="78">H659+I658</f>
        <v>0.99495714458767415</v>
      </c>
      <c r="J659" s="60">
        <f t="shared" si="74"/>
        <v>0.994915074251009</v>
      </c>
    </row>
    <row r="660" spans="1:10" x14ac:dyDescent="0.3">
      <c r="A660" s="70">
        <f t="shared" si="75"/>
        <v>2.58</v>
      </c>
      <c r="B660" s="60">
        <v>0</v>
      </c>
      <c r="C660" s="70">
        <v>2.58</v>
      </c>
      <c r="D660" s="70">
        <v>1</v>
      </c>
      <c r="E660" s="71">
        <f t="shared" si="76"/>
        <v>-3.3282000000000003</v>
      </c>
      <c r="F660" s="72">
        <f t="shared" si="77"/>
        <v>1.430510899414969E-2</v>
      </c>
      <c r="G660" s="70">
        <f t="shared" si="73"/>
        <v>9.9999999999997868E-3</v>
      </c>
      <c r="H660" s="60">
        <f t="shared" si="72"/>
        <v>1.4305108994149386E-4</v>
      </c>
      <c r="I660" s="60">
        <f t="shared" si="78"/>
        <v>0.99510019567761565</v>
      </c>
      <c r="J660" s="60">
        <f t="shared" si="74"/>
        <v>0.99505998424222941</v>
      </c>
    </row>
    <row r="661" spans="1:10" x14ac:dyDescent="0.3">
      <c r="A661" s="70">
        <f t="shared" si="75"/>
        <v>2.59</v>
      </c>
      <c r="B661" s="60">
        <v>0</v>
      </c>
      <c r="C661" s="70">
        <v>2.59</v>
      </c>
      <c r="D661" s="70">
        <v>1</v>
      </c>
      <c r="E661" s="71">
        <f t="shared" si="76"/>
        <v>-3.3540499999999995</v>
      </c>
      <c r="F661" s="72">
        <f t="shared" si="77"/>
        <v>1.3940060505935825E-2</v>
      </c>
      <c r="G661" s="70">
        <f t="shared" si="73"/>
        <v>1.0000000000000231E-2</v>
      </c>
      <c r="H661" s="60">
        <f t="shared" si="72"/>
        <v>1.3940060505936147E-4</v>
      </c>
      <c r="I661" s="60">
        <f t="shared" si="78"/>
        <v>0.995239596282675</v>
      </c>
      <c r="J661" s="60">
        <f t="shared" si="74"/>
        <v>0.99520120340287377</v>
      </c>
    </row>
    <row r="662" spans="1:10" x14ac:dyDescent="0.3">
      <c r="A662" s="70">
        <f t="shared" si="75"/>
        <v>2.6</v>
      </c>
      <c r="B662" s="60">
        <v>0</v>
      </c>
      <c r="C662" s="70">
        <v>2.6</v>
      </c>
      <c r="D662" s="70">
        <v>1</v>
      </c>
      <c r="E662" s="71">
        <f t="shared" si="76"/>
        <v>-3.3800000000000003</v>
      </c>
      <c r="F662" s="72">
        <f t="shared" si="77"/>
        <v>1.3582969233685613E-2</v>
      </c>
      <c r="G662" s="70">
        <f t="shared" si="73"/>
        <v>9.9999999999997868E-3</v>
      </c>
      <c r="H662" s="60">
        <f t="shared" si="72"/>
        <v>1.3582969233685323E-4</v>
      </c>
      <c r="I662" s="60">
        <f t="shared" si="78"/>
        <v>0.99537542597501183</v>
      </c>
      <c r="J662" s="60">
        <f t="shared" si="74"/>
        <v>0.99533881197628127</v>
      </c>
    </row>
    <row r="663" spans="1:10" x14ac:dyDescent="0.3">
      <c r="A663" s="70">
        <f t="shared" si="75"/>
        <v>2.61</v>
      </c>
      <c r="B663" s="60">
        <v>0</v>
      </c>
      <c r="C663" s="70">
        <v>2.61</v>
      </c>
      <c r="D663" s="70">
        <v>1</v>
      </c>
      <c r="E663" s="71">
        <f t="shared" si="76"/>
        <v>-3.4060499999999996</v>
      </c>
      <c r="F663" s="72">
        <f t="shared" si="77"/>
        <v>1.3233701843821374E-2</v>
      </c>
      <c r="G663" s="70">
        <f t="shared" si="73"/>
        <v>1.0000000000000231E-2</v>
      </c>
      <c r="H663" s="60">
        <f t="shared" si="72"/>
        <v>1.323370184382168E-4</v>
      </c>
      <c r="I663" s="60">
        <f t="shared" si="78"/>
        <v>0.99550776299345001</v>
      </c>
      <c r="J663" s="60">
        <f t="shared" si="74"/>
        <v>0.99547288886703267</v>
      </c>
    </row>
    <row r="664" spans="1:10" x14ac:dyDescent="0.3">
      <c r="A664" s="70">
        <f t="shared" si="75"/>
        <v>2.62</v>
      </c>
      <c r="B664" s="60">
        <v>0</v>
      </c>
      <c r="C664" s="70">
        <v>2.62</v>
      </c>
      <c r="D664" s="70">
        <v>1</v>
      </c>
      <c r="E664" s="71">
        <f t="shared" si="76"/>
        <v>-3.4322000000000004</v>
      </c>
      <c r="F664" s="72">
        <f t="shared" si="77"/>
        <v>1.2892126107895304E-2</v>
      </c>
      <c r="G664" s="70">
        <f t="shared" si="73"/>
        <v>9.9999999999997868E-3</v>
      </c>
      <c r="H664" s="60">
        <f t="shared" si="72"/>
        <v>1.2892126107895028E-4</v>
      </c>
      <c r="I664" s="60">
        <f t="shared" si="78"/>
        <v>0.995636684254529</v>
      </c>
      <c r="J664" s="60">
        <f t="shared" si="74"/>
        <v>0.99560351165187866</v>
      </c>
    </row>
    <row r="665" spans="1:10" x14ac:dyDescent="0.3">
      <c r="A665" s="70">
        <f t="shared" si="75"/>
        <v>2.63</v>
      </c>
      <c r="B665" s="60">
        <v>0</v>
      </c>
      <c r="C665" s="70">
        <v>2.63</v>
      </c>
      <c r="D665" s="70">
        <v>1</v>
      </c>
      <c r="E665" s="71">
        <f t="shared" si="76"/>
        <v>-3.4584499999999996</v>
      </c>
      <c r="F665" s="72">
        <f t="shared" si="77"/>
        <v>1.2558110926378211E-2</v>
      </c>
      <c r="G665" s="70">
        <f t="shared" si="73"/>
        <v>1.0000000000000231E-2</v>
      </c>
      <c r="H665" s="60">
        <f t="shared" si="72"/>
        <v>1.2558110926378502E-4</v>
      </c>
      <c r="I665" s="60">
        <f t="shared" si="78"/>
        <v>0.99576226536379275</v>
      </c>
      <c r="J665" s="60">
        <f t="shared" si="74"/>
        <v>0.9957307565909107</v>
      </c>
    </row>
    <row r="666" spans="1:10" x14ac:dyDescent="0.3">
      <c r="A666" s="70">
        <f t="shared" si="75"/>
        <v>2.64</v>
      </c>
      <c r="B666" s="60">
        <v>0</v>
      </c>
      <c r="C666" s="70">
        <v>2.64</v>
      </c>
      <c r="D666" s="70">
        <v>1</v>
      </c>
      <c r="E666" s="71">
        <f t="shared" si="76"/>
        <v>-3.4848000000000003</v>
      </c>
      <c r="F666" s="72">
        <f t="shared" si="77"/>
        <v>1.2231526351277971E-2</v>
      </c>
      <c r="G666" s="70">
        <f t="shared" si="73"/>
        <v>9.9999999999997868E-3</v>
      </c>
      <c r="H666" s="60">
        <f t="shared" si="72"/>
        <v>1.2231526351277712E-4</v>
      </c>
      <c r="I666" s="60">
        <f t="shared" si="78"/>
        <v>0.99588458062730556</v>
      </c>
      <c r="J666" s="60">
        <f t="shared" si="74"/>
        <v>0.99585469863896392</v>
      </c>
    </row>
    <row r="667" spans="1:10" x14ac:dyDescent="0.3">
      <c r="A667" s="70">
        <f t="shared" si="75"/>
        <v>2.65</v>
      </c>
      <c r="B667" s="60">
        <v>0</v>
      </c>
      <c r="C667" s="70">
        <v>2.65</v>
      </c>
      <c r="D667" s="70">
        <v>1</v>
      </c>
      <c r="E667" s="71">
        <f t="shared" si="76"/>
        <v>-3.51125</v>
      </c>
      <c r="F667" s="72">
        <f t="shared" si="77"/>
        <v>1.1912243607605179E-2</v>
      </c>
      <c r="G667" s="70">
        <f t="shared" si="73"/>
        <v>1.0000000000000231E-2</v>
      </c>
      <c r="H667" s="60">
        <f t="shared" si="72"/>
        <v>1.1912243607605454E-4</v>
      </c>
      <c r="I667" s="60">
        <f t="shared" si="78"/>
        <v>0.9960037030633816</v>
      </c>
      <c r="J667" s="60">
        <f t="shared" si="74"/>
        <v>0.99597541145724167</v>
      </c>
    </row>
    <row r="668" spans="1:10" x14ac:dyDescent="0.3">
      <c r="A668" s="70">
        <f t="shared" si="75"/>
        <v>2.66</v>
      </c>
      <c r="B668" s="60">
        <v>0</v>
      </c>
      <c r="C668" s="70">
        <v>2.66</v>
      </c>
      <c r="D668" s="70">
        <v>1</v>
      </c>
      <c r="E668" s="71">
        <f t="shared" si="76"/>
        <v>-3.5378000000000003</v>
      </c>
      <c r="F668" s="72">
        <f t="shared" si="77"/>
        <v>1.1600135113702561E-2</v>
      </c>
      <c r="G668" s="70">
        <f t="shared" si="73"/>
        <v>9.9999999999997868E-3</v>
      </c>
      <c r="H668" s="60">
        <f t="shared" si="72"/>
        <v>1.1600135113702313E-4</v>
      </c>
      <c r="I668" s="60">
        <f t="shared" si="78"/>
        <v>0.99611970441451858</v>
      </c>
      <c r="J668" s="60">
        <f t="shared" si="74"/>
        <v>0.99609296742514719</v>
      </c>
    </row>
    <row r="669" spans="1:10" x14ac:dyDescent="0.3">
      <c r="A669" s="70">
        <f t="shared" si="75"/>
        <v>2.67</v>
      </c>
      <c r="B669" s="60">
        <v>0</v>
      </c>
      <c r="C669" s="70">
        <v>2.67</v>
      </c>
      <c r="D669" s="70">
        <v>1</v>
      </c>
      <c r="E669" s="71">
        <f t="shared" si="76"/>
        <v>-3.5644499999999999</v>
      </c>
      <c r="F669" s="72">
        <f t="shared" si="77"/>
        <v>1.1295074500456135E-2</v>
      </c>
      <c r="G669" s="70">
        <f t="shared" si="73"/>
        <v>1.0000000000000231E-2</v>
      </c>
      <c r="H669" s="60">
        <f t="shared" si="72"/>
        <v>1.1295074500456396E-4</v>
      </c>
      <c r="I669" s="60">
        <f t="shared" si="78"/>
        <v>0.99623265515952319</v>
      </c>
      <c r="J669" s="60">
        <f t="shared" si="74"/>
        <v>0.99620743765231456</v>
      </c>
    </row>
    <row r="670" spans="1:10" x14ac:dyDescent="0.3">
      <c r="A670" s="70">
        <f t="shared" si="75"/>
        <v>2.68</v>
      </c>
      <c r="B670" s="60">
        <v>0</v>
      </c>
      <c r="C670" s="70">
        <v>2.68</v>
      </c>
      <c r="D670" s="70">
        <v>1</v>
      </c>
      <c r="E670" s="71">
        <f t="shared" si="76"/>
        <v>-3.5912000000000006</v>
      </c>
      <c r="F670" s="72">
        <f t="shared" si="77"/>
        <v>1.0996936629405572E-2</v>
      </c>
      <c r="G670" s="70">
        <f t="shared" si="73"/>
        <v>9.9999999999997868E-3</v>
      </c>
      <c r="H670" s="60">
        <f t="shared" si="72"/>
        <v>1.0996936629405337E-4</v>
      </c>
      <c r="I670" s="60">
        <f t="shared" si="78"/>
        <v>0.99634262452581723</v>
      </c>
      <c r="J670" s="60">
        <f t="shared" si="74"/>
        <v>0.99631889199082502</v>
      </c>
    </row>
    <row r="671" spans="1:10" x14ac:dyDescent="0.3">
      <c r="A671" s="70">
        <f t="shared" si="75"/>
        <v>2.69</v>
      </c>
      <c r="B671" s="60">
        <v>0</v>
      </c>
      <c r="C671" s="70">
        <v>2.69</v>
      </c>
      <c r="D671" s="70">
        <v>1</v>
      </c>
      <c r="E671" s="71">
        <f t="shared" si="76"/>
        <v>-3.6180499999999998</v>
      </c>
      <c r="F671" s="72">
        <f t="shared" si="77"/>
        <v>1.0705597609772187E-2</v>
      </c>
      <c r="G671" s="70">
        <f t="shared" si="73"/>
        <v>1.0000000000000231E-2</v>
      </c>
      <c r="H671" s="60">
        <f t="shared" si="72"/>
        <v>1.0705597609772433E-4</v>
      </c>
      <c r="I671" s="60">
        <f t="shared" si="78"/>
        <v>0.99644968050191496</v>
      </c>
      <c r="J671" s="60">
        <f t="shared" si="74"/>
        <v>0.99642739904760025</v>
      </c>
    </row>
    <row r="672" spans="1:10" x14ac:dyDescent="0.3">
      <c r="A672" s="70">
        <f t="shared" si="75"/>
        <v>2.7</v>
      </c>
      <c r="B672" s="60">
        <v>0</v>
      </c>
      <c r="C672" s="70">
        <v>2.7</v>
      </c>
      <c r="D672" s="70">
        <v>1</v>
      </c>
      <c r="E672" s="71">
        <f t="shared" si="76"/>
        <v>-3.6450000000000005</v>
      </c>
      <c r="F672" s="72">
        <f t="shared" si="77"/>
        <v>1.0420934814422592E-2</v>
      </c>
      <c r="G672" s="70">
        <f t="shared" si="73"/>
        <v>9.9999999999997868E-3</v>
      </c>
      <c r="H672" s="60">
        <f t="shared" si="72"/>
        <v>1.042093481442237E-4</v>
      </c>
      <c r="I672" s="60">
        <f t="shared" si="78"/>
        <v>0.99655388985005922</v>
      </c>
      <c r="J672" s="60">
        <f t="shared" si="74"/>
        <v>0.99653302619695938</v>
      </c>
    </row>
    <row r="673" spans="1:10" x14ac:dyDescent="0.3">
      <c r="A673" s="70">
        <f t="shared" si="75"/>
        <v>2.71</v>
      </c>
      <c r="B673" s="60">
        <v>0</v>
      </c>
      <c r="C673" s="70">
        <v>2.71</v>
      </c>
      <c r="D673" s="70">
        <v>1</v>
      </c>
      <c r="E673" s="71">
        <f t="shared" si="76"/>
        <v>-3.67205</v>
      </c>
      <c r="F673" s="72">
        <f t="shared" si="77"/>
        <v>1.0142826894787077E-2</v>
      </c>
      <c r="G673" s="70">
        <f t="shared" si="73"/>
        <v>1.0000000000000231E-2</v>
      </c>
      <c r="H673" s="60">
        <f t="shared" si="72"/>
        <v>1.0142826894787311E-4</v>
      </c>
      <c r="I673" s="60">
        <f t="shared" si="78"/>
        <v>0.99665531811900709</v>
      </c>
      <c r="J673" s="60">
        <f t="shared" si="74"/>
        <v>0.9966358395933308</v>
      </c>
    </row>
    <row r="674" spans="1:10" x14ac:dyDescent="0.3">
      <c r="A674" s="70">
        <f t="shared" si="75"/>
        <v>2.72</v>
      </c>
      <c r="B674" s="60">
        <v>0</v>
      </c>
      <c r="C674" s="70">
        <v>2.72</v>
      </c>
      <c r="D674" s="70">
        <v>1</v>
      </c>
      <c r="E674" s="71">
        <f t="shared" si="76"/>
        <v>-3.6992000000000007</v>
      </c>
      <c r="F674" s="72">
        <f t="shared" si="77"/>
        <v>9.8711537947511301E-3</v>
      </c>
      <c r="G674" s="70">
        <f t="shared" si="73"/>
        <v>9.9999999999997868E-3</v>
      </c>
      <c r="H674" s="60">
        <f t="shared" si="72"/>
        <v>9.8711537947509194E-5</v>
      </c>
      <c r="I674" s="60">
        <f t="shared" si="78"/>
        <v>0.99675402965695459</v>
      </c>
      <c r="J674" s="60">
        <f t="shared" si="74"/>
        <v>0.99673590418410873</v>
      </c>
    </row>
    <row r="675" spans="1:10" x14ac:dyDescent="0.3">
      <c r="A675" s="70">
        <f t="shared" si="75"/>
        <v>2.73</v>
      </c>
      <c r="B675" s="60">
        <v>0</v>
      </c>
      <c r="C675" s="70">
        <v>2.73</v>
      </c>
      <c r="D675" s="70">
        <v>1</v>
      </c>
      <c r="E675" s="71">
        <f t="shared" si="76"/>
        <v>-3.7264499999999998</v>
      </c>
      <c r="F675" s="72">
        <f t="shared" si="77"/>
        <v>9.6057967635395872E-3</v>
      </c>
      <c r="G675" s="70">
        <f t="shared" si="73"/>
        <v>1.0000000000000231E-2</v>
      </c>
      <c r="H675" s="60">
        <f t="shared" si="72"/>
        <v>9.6057967635398097E-5</v>
      </c>
      <c r="I675" s="60">
        <f t="shared" si="78"/>
        <v>0.99685008762458993</v>
      </c>
      <c r="J675" s="60">
        <f t="shared" si="74"/>
        <v>0.99683328372264224</v>
      </c>
    </row>
    <row r="676" spans="1:10" x14ac:dyDescent="0.3">
      <c r="A676" s="70">
        <f t="shared" si="75"/>
        <v>2.74</v>
      </c>
      <c r="B676" s="60">
        <v>0</v>
      </c>
      <c r="C676" s="70">
        <v>2.74</v>
      </c>
      <c r="D676" s="70">
        <v>1</v>
      </c>
      <c r="E676" s="71">
        <f t="shared" si="76"/>
        <v>-3.7538000000000005</v>
      </c>
      <c r="F676" s="72">
        <f t="shared" si="77"/>
        <v>9.3466383676122835E-3</v>
      </c>
      <c r="G676" s="70">
        <f t="shared" si="73"/>
        <v>9.9999999999997868E-3</v>
      </c>
      <c r="H676" s="60">
        <f t="shared" si="72"/>
        <v>9.3466383676120838E-5</v>
      </c>
      <c r="I676" s="60">
        <f t="shared" si="78"/>
        <v>0.99694355400826606</v>
      </c>
      <c r="J676" s="60">
        <f t="shared" si="74"/>
        <v>0.99692804078134956</v>
      </c>
    </row>
    <row r="677" spans="1:10" x14ac:dyDescent="0.3">
      <c r="A677" s="70">
        <f t="shared" si="75"/>
        <v>2.75</v>
      </c>
      <c r="B677" s="60">
        <v>0</v>
      </c>
      <c r="C677" s="70">
        <v>2.75</v>
      </c>
      <c r="D677" s="70">
        <v>1</v>
      </c>
      <c r="E677" s="71">
        <f t="shared" si="76"/>
        <v>-3.78125</v>
      </c>
      <c r="F677" s="72">
        <f t="shared" si="77"/>
        <v>9.0935625015910529E-3</v>
      </c>
      <c r="G677" s="70">
        <f t="shared" si="73"/>
        <v>9.9999999999997868E-3</v>
      </c>
      <c r="H677" s="60">
        <f t="shared" si="72"/>
        <v>9.0935625015908586E-5</v>
      </c>
      <c r="I677" s="60">
        <f t="shared" si="78"/>
        <v>0.99703448963328201</v>
      </c>
      <c r="J677" s="60">
        <f t="shared" si="74"/>
        <v>0.99702023676494544</v>
      </c>
    </row>
    <row r="678" spans="1:10" x14ac:dyDescent="0.3">
      <c r="A678" s="70">
        <f t="shared" si="75"/>
        <v>2.76</v>
      </c>
      <c r="B678" s="60">
        <v>0</v>
      </c>
      <c r="C678" s="70">
        <v>2.76</v>
      </c>
      <c r="D678" s="70">
        <v>1</v>
      </c>
      <c r="E678" s="71">
        <f t="shared" si="76"/>
        <v>-3.8087999999999993</v>
      </c>
      <c r="F678" s="72">
        <f t="shared" si="77"/>
        <v>8.8464543982372315E-3</v>
      </c>
      <c r="G678" s="70">
        <f t="shared" si="73"/>
        <v>1.0000000000000231E-2</v>
      </c>
      <c r="H678" s="60">
        <f t="shared" si="72"/>
        <v>8.8464543982374363E-5</v>
      </c>
      <c r="I678" s="60">
        <f t="shared" si="78"/>
        <v>0.99712295417726438</v>
      </c>
      <c r="J678" s="60">
        <f t="shared" si="74"/>
        <v>0.99710993192377384</v>
      </c>
    </row>
    <row r="679" spans="1:10" x14ac:dyDescent="0.3">
      <c r="A679" s="70">
        <f t="shared" si="75"/>
        <v>2.77</v>
      </c>
      <c r="B679" s="60">
        <v>0</v>
      </c>
      <c r="C679" s="70">
        <v>2.77</v>
      </c>
      <c r="D679" s="70">
        <v>1</v>
      </c>
      <c r="E679" s="71">
        <f t="shared" si="76"/>
        <v>-3.8364500000000001</v>
      </c>
      <c r="F679" s="72">
        <f t="shared" si="77"/>
        <v>8.6052006374996715E-3</v>
      </c>
      <c r="G679" s="70">
        <f t="shared" si="73"/>
        <v>9.9999999999997868E-3</v>
      </c>
      <c r="H679" s="60">
        <f t="shared" si="72"/>
        <v>8.6052006374994874E-5</v>
      </c>
      <c r="I679" s="60">
        <f t="shared" si="78"/>
        <v>0.99720900618363939</v>
      </c>
      <c r="J679" s="60">
        <f t="shared" si="74"/>
        <v>0.99719718536723501</v>
      </c>
    </row>
    <row r="680" spans="1:10" x14ac:dyDescent="0.3">
      <c r="A680" s="70">
        <f t="shared" si="75"/>
        <v>2.78</v>
      </c>
      <c r="B680" s="60">
        <v>0</v>
      </c>
      <c r="C680" s="70">
        <v>2.78</v>
      </c>
      <c r="D680" s="70">
        <v>1</v>
      </c>
      <c r="E680" s="71">
        <f t="shared" si="76"/>
        <v>-3.8641999999999994</v>
      </c>
      <c r="F680" s="72">
        <f t="shared" si="77"/>
        <v>8.369689154653033E-3</v>
      </c>
      <c r="G680" s="70">
        <f t="shared" si="73"/>
        <v>1.0000000000000231E-2</v>
      </c>
      <c r="H680" s="60">
        <f t="shared" si="72"/>
        <v>8.3696891546532258E-5</v>
      </c>
      <c r="I680" s="60">
        <f t="shared" si="78"/>
        <v>0.99729270307518592</v>
      </c>
      <c r="J680" s="60">
        <f t="shared" si="74"/>
        <v>0.99728205507729872</v>
      </c>
    </row>
    <row r="681" spans="1:10" x14ac:dyDescent="0.3">
      <c r="A681" s="70">
        <f t="shared" si="75"/>
        <v>2.79</v>
      </c>
      <c r="B681" s="60">
        <v>0</v>
      </c>
      <c r="C681" s="70">
        <v>2.79</v>
      </c>
      <c r="D681" s="70">
        <v>1</v>
      </c>
      <c r="E681" s="71">
        <f t="shared" si="76"/>
        <v>-3.8920500000000002</v>
      </c>
      <c r="F681" s="72">
        <f t="shared" si="77"/>
        <v>8.1398092475460215E-3</v>
      </c>
      <c r="G681" s="70">
        <f t="shared" si="73"/>
        <v>9.9999999999997868E-3</v>
      </c>
      <c r="H681" s="60">
        <f t="shared" si="72"/>
        <v>8.1398092475458479E-5</v>
      </c>
      <c r="I681" s="60">
        <f t="shared" si="78"/>
        <v>0.99737410116766134</v>
      </c>
      <c r="J681" s="60">
        <f t="shared" si="74"/>
        <v>0.99736459792209509</v>
      </c>
    </row>
    <row r="682" spans="1:10" x14ac:dyDescent="0.3">
      <c r="A682" s="70">
        <f t="shared" si="75"/>
        <v>2.8</v>
      </c>
      <c r="B682" s="60">
        <v>0</v>
      </c>
      <c r="C682" s="70">
        <v>2.8</v>
      </c>
      <c r="D682" s="70">
        <v>1</v>
      </c>
      <c r="E682" s="71">
        <f t="shared" si="76"/>
        <v>-3.9199999999999995</v>
      </c>
      <c r="F682" s="72">
        <f t="shared" si="77"/>
        <v>7.9154515829799686E-3</v>
      </c>
      <c r="G682" s="70">
        <f t="shared" si="73"/>
        <v>1.0000000000000231E-2</v>
      </c>
      <c r="H682" s="60">
        <f t="shared" si="72"/>
        <v>7.9154515829801516E-5</v>
      </c>
      <c r="I682" s="60">
        <f t="shared" si="78"/>
        <v>0.99745325568349119</v>
      </c>
      <c r="J682" s="60">
        <f t="shared" si="74"/>
        <v>0.99744486966957202</v>
      </c>
    </row>
    <row r="683" spans="1:10" x14ac:dyDescent="0.3">
      <c r="A683" s="70">
        <f t="shared" si="75"/>
        <v>2.81</v>
      </c>
      <c r="B683" s="60">
        <v>0</v>
      </c>
      <c r="C683" s="70">
        <v>2.81</v>
      </c>
      <c r="D683" s="70">
        <v>1</v>
      </c>
      <c r="E683" s="71">
        <f t="shared" si="76"/>
        <v>-3.9480500000000003</v>
      </c>
      <c r="F683" s="72">
        <f t="shared" si="77"/>
        <v>7.6965082022373218E-3</v>
      </c>
      <c r="G683" s="70">
        <f t="shared" si="73"/>
        <v>9.9999999999997868E-3</v>
      </c>
      <c r="H683" s="60">
        <f t="shared" si="72"/>
        <v>7.696508202237158E-5</v>
      </c>
      <c r="I683" s="60">
        <f t="shared" si="78"/>
        <v>0.99753022076551356</v>
      </c>
      <c r="J683" s="60">
        <f t="shared" si="74"/>
        <v>0.99752292500121409</v>
      </c>
    </row>
    <row r="684" spans="1:10" x14ac:dyDescent="0.3">
      <c r="A684" s="70">
        <f t="shared" si="75"/>
        <v>2.82</v>
      </c>
      <c r="B684" s="60">
        <v>0</v>
      </c>
      <c r="C684" s="70">
        <v>2.82</v>
      </c>
      <c r="D684" s="70">
        <v>1</v>
      </c>
      <c r="E684" s="71">
        <f t="shared" si="76"/>
        <v>-3.9761999999999995</v>
      </c>
      <c r="F684" s="72">
        <f t="shared" si="77"/>
        <v>7.4828725257805638E-3</v>
      </c>
      <c r="G684" s="70">
        <f t="shared" si="73"/>
        <v>1.0000000000000231E-2</v>
      </c>
      <c r="H684" s="60">
        <f t="shared" si="72"/>
        <v>7.4828725257807365E-5</v>
      </c>
      <c r="I684" s="60">
        <f t="shared" si="78"/>
        <v>0.99760504949077133</v>
      </c>
      <c r="J684" s="60">
        <f t="shared" si="74"/>
        <v>0.9975988175258107</v>
      </c>
    </row>
    <row r="685" spans="1:10" x14ac:dyDescent="0.3">
      <c r="A685" s="70">
        <f t="shared" si="75"/>
        <v>2.83</v>
      </c>
      <c r="B685" s="60">
        <v>0</v>
      </c>
      <c r="C685" s="70">
        <v>2.83</v>
      </c>
      <c r="D685" s="70">
        <v>1</v>
      </c>
      <c r="E685" s="71">
        <f t="shared" si="76"/>
        <v>-4.0044500000000003</v>
      </c>
      <c r="F685" s="72">
        <f t="shared" si="77"/>
        <v>7.2744393571412182E-3</v>
      </c>
      <c r="G685" s="70">
        <f t="shared" si="73"/>
        <v>9.9999999999997868E-3</v>
      </c>
      <c r="H685" s="60">
        <f t="shared" si="72"/>
        <v>7.274439357141063E-5</v>
      </c>
      <c r="I685" s="60">
        <f t="shared" si="78"/>
        <v>0.99767779388434275</v>
      </c>
      <c r="J685" s="60">
        <f t="shared" si="74"/>
        <v>0.9976725997932685</v>
      </c>
    </row>
    <row r="686" spans="1:10" x14ac:dyDescent="0.3">
      <c r="A686" s="70">
        <f t="shared" si="75"/>
        <v>2.84</v>
      </c>
      <c r="B686" s="60">
        <v>0</v>
      </c>
      <c r="C686" s="70">
        <v>2.84</v>
      </c>
      <c r="D686" s="70">
        <v>1</v>
      </c>
      <c r="E686" s="71">
        <f t="shared" si="76"/>
        <v>-4.0327999999999999</v>
      </c>
      <c r="F686" s="72">
        <f t="shared" si="77"/>
        <v>7.0711048860194487E-3</v>
      </c>
      <c r="G686" s="70">
        <f t="shared" si="73"/>
        <v>1.0000000000000231E-2</v>
      </c>
      <c r="H686" s="60">
        <f t="shared" si="72"/>
        <v>7.0711048860196116E-5</v>
      </c>
      <c r="I686" s="60">
        <f t="shared" si="78"/>
        <v>0.997748504933203</v>
      </c>
      <c r="J686" s="60">
        <f t="shared" si="74"/>
        <v>0.99774432330845764</v>
      </c>
    </row>
    <row r="687" spans="1:10" x14ac:dyDescent="0.3">
      <c r="A687" s="70">
        <f t="shared" si="75"/>
        <v>2.85</v>
      </c>
      <c r="B687" s="60">
        <v>0</v>
      </c>
      <c r="C687" s="70">
        <v>2.85</v>
      </c>
      <c r="D687" s="70">
        <v>1</v>
      </c>
      <c r="E687" s="71">
        <f t="shared" si="76"/>
        <v>-4.0612500000000002</v>
      </c>
      <c r="F687" s="72">
        <f t="shared" si="77"/>
        <v>6.8727666906139712E-3</v>
      </c>
      <c r="G687" s="70">
        <f t="shared" si="73"/>
        <v>9.9999999999997868E-3</v>
      </c>
      <c r="H687" s="60">
        <f t="shared" si="72"/>
        <v>6.8727666906138245E-5</v>
      </c>
      <c r="I687" s="60">
        <f t="shared" si="78"/>
        <v>0.99781723260010913</v>
      </c>
      <c r="J687" s="60">
        <f t="shared" si="74"/>
        <v>0.99781403854508677</v>
      </c>
    </row>
    <row r="688" spans="1:10" x14ac:dyDescent="0.3">
      <c r="A688" s="70">
        <f t="shared" si="75"/>
        <v>2.86</v>
      </c>
      <c r="B688" s="60">
        <v>0</v>
      </c>
      <c r="C688" s="70">
        <v>2.86</v>
      </c>
      <c r="D688" s="70">
        <v>1</v>
      </c>
      <c r="E688" s="71">
        <f t="shared" si="76"/>
        <v>-4.0897999999999994</v>
      </c>
      <c r="F688" s="72">
        <f t="shared" si="77"/>
        <v>6.6793237392026202E-3</v>
      </c>
      <c r="G688" s="70">
        <f t="shared" si="73"/>
        <v>1.0000000000000231E-2</v>
      </c>
      <c r="H688" s="60">
        <f t="shared" si="72"/>
        <v>6.6793237392027743E-5</v>
      </c>
      <c r="I688" s="60">
        <f t="shared" si="78"/>
        <v>0.99788402583750113</v>
      </c>
      <c r="J688" s="60">
        <f t="shared" si="74"/>
        <v>0.99788179495959539</v>
      </c>
    </row>
    <row r="689" spans="1:10" x14ac:dyDescent="0.3">
      <c r="A689" s="70">
        <f t="shared" si="75"/>
        <v>2.87</v>
      </c>
      <c r="B689" s="60">
        <v>0</v>
      </c>
      <c r="C689" s="70">
        <v>2.87</v>
      </c>
      <c r="D689" s="70">
        <v>1</v>
      </c>
      <c r="E689" s="71">
        <f t="shared" si="76"/>
        <v>-4.1184500000000002</v>
      </c>
      <c r="F689" s="72">
        <f t="shared" si="77"/>
        <v>6.4906763909933643E-3</v>
      </c>
      <c r="G689" s="70">
        <f t="shared" si="73"/>
        <v>9.9999999999997868E-3</v>
      </c>
      <c r="H689" s="60">
        <f t="shared" si="72"/>
        <v>6.4906763909932264E-5</v>
      </c>
      <c r="I689" s="60">
        <f t="shared" si="78"/>
        <v>0.99794893260141104</v>
      </c>
      <c r="J689" s="60">
        <f t="shared" si="74"/>
        <v>0.99794764100506028</v>
      </c>
    </row>
    <row r="690" spans="1:10" x14ac:dyDescent="0.3">
      <c r="A690" s="70">
        <f t="shared" si="75"/>
        <v>2.88</v>
      </c>
      <c r="B690" s="60">
        <v>0</v>
      </c>
      <c r="C690" s="70">
        <v>2.88</v>
      </c>
      <c r="D690" s="70">
        <v>1</v>
      </c>
      <c r="E690" s="71">
        <f t="shared" si="76"/>
        <v>-4.1471999999999998</v>
      </c>
      <c r="F690" s="72">
        <f t="shared" si="77"/>
        <v>6.3067263962659275E-3</v>
      </c>
      <c r="G690" s="70">
        <f t="shared" si="73"/>
        <v>1.0000000000000231E-2</v>
      </c>
      <c r="H690" s="60">
        <f t="shared" si="72"/>
        <v>6.3067263962660728E-5</v>
      </c>
      <c r="I690" s="60">
        <f t="shared" si="78"/>
        <v>0.9980119998653737</v>
      </c>
      <c r="J690" s="60">
        <f t="shared" si="74"/>
        <v>0.99801162414510569</v>
      </c>
    </row>
    <row r="691" spans="1:10" x14ac:dyDescent="0.3">
      <c r="A691" s="70">
        <f t="shared" si="75"/>
        <v>2.89</v>
      </c>
      <c r="B691" s="60">
        <v>0</v>
      </c>
      <c r="C691" s="70">
        <v>2.89</v>
      </c>
      <c r="D691" s="70">
        <v>1</v>
      </c>
      <c r="E691" s="71">
        <f t="shared" si="76"/>
        <v>-4.17605</v>
      </c>
      <c r="F691" s="72">
        <f t="shared" si="77"/>
        <v>6.1273768958236873E-3</v>
      </c>
      <c r="G691" s="70">
        <f t="shared" si="73"/>
        <v>9.9999999999997868E-3</v>
      </c>
      <c r="H691" s="60">
        <f t="shared" si="72"/>
        <v>6.1273768958235568E-5</v>
      </c>
      <c r="I691" s="60">
        <f t="shared" si="78"/>
        <v>0.99807327363433196</v>
      </c>
      <c r="J691" s="60">
        <f t="shared" si="74"/>
        <v>0.99807379086781212</v>
      </c>
    </row>
    <row r="692" spans="1:10" x14ac:dyDescent="0.3">
      <c r="A692" s="70">
        <f t="shared" si="75"/>
        <v>2.9</v>
      </c>
      <c r="B692" s="60">
        <v>0</v>
      </c>
      <c r="C692" s="70">
        <v>2.9</v>
      </c>
      <c r="D692" s="70">
        <v>1</v>
      </c>
      <c r="E692" s="71">
        <f t="shared" si="76"/>
        <v>-4.2050000000000001</v>
      </c>
      <c r="F692" s="72">
        <f t="shared" si="77"/>
        <v>5.9525324197758538E-3</v>
      </c>
      <c r="G692" s="70">
        <f t="shared" si="73"/>
        <v>1.0000000000000231E-2</v>
      </c>
      <c r="H692" s="60">
        <f t="shared" si="72"/>
        <v>5.9525324197759909E-5</v>
      </c>
      <c r="I692" s="60">
        <f t="shared" si="78"/>
        <v>0.99813279895852969</v>
      </c>
      <c r="J692" s="60">
        <f t="shared" si="74"/>
        <v>0.99813418669961596</v>
      </c>
    </row>
    <row r="693" spans="1:10" x14ac:dyDescent="0.3">
      <c r="A693" s="70">
        <f t="shared" si="75"/>
        <v>2.91</v>
      </c>
      <c r="B693" s="60">
        <v>0</v>
      </c>
      <c r="C693" s="70">
        <v>2.91</v>
      </c>
      <c r="D693" s="70">
        <v>1</v>
      </c>
      <c r="E693" s="71">
        <f t="shared" si="76"/>
        <v>-4.2340500000000008</v>
      </c>
      <c r="F693" s="72">
        <f t="shared" si="77"/>
        <v>5.7820988856694729E-3</v>
      </c>
      <c r="G693" s="70">
        <f t="shared" si="73"/>
        <v>9.9999999999997868E-3</v>
      </c>
      <c r="H693" s="60">
        <f t="shared" si="72"/>
        <v>5.7820988856693495E-5</v>
      </c>
      <c r="I693" s="60">
        <f t="shared" si="78"/>
        <v>0.99819061994738634</v>
      </c>
      <c r="J693" s="60">
        <f t="shared" si="74"/>
        <v>0.99819285621919362</v>
      </c>
    </row>
    <row r="694" spans="1:10" x14ac:dyDescent="0.3">
      <c r="A694" s="70">
        <f t="shared" si="75"/>
        <v>2.92</v>
      </c>
      <c r="B694" s="60">
        <v>0</v>
      </c>
      <c r="C694" s="70">
        <v>2.92</v>
      </c>
      <c r="D694" s="70">
        <v>1</v>
      </c>
      <c r="E694" s="71">
        <f t="shared" si="76"/>
        <v>-4.2631999999999994</v>
      </c>
      <c r="F694" s="72">
        <f t="shared" si="77"/>
        <v>5.615983595990969E-3</v>
      </c>
      <c r="G694" s="70">
        <f t="shared" si="73"/>
        <v>1.0000000000000231E-2</v>
      </c>
      <c r="H694" s="60">
        <f t="shared" si="72"/>
        <v>5.615983595991099E-5</v>
      </c>
      <c r="I694" s="60">
        <f t="shared" si="78"/>
        <v>0.99824677978334619</v>
      </c>
      <c r="J694" s="60">
        <f t="shared" si="74"/>
        <v>0.99824984307132392</v>
      </c>
    </row>
    <row r="695" spans="1:10" x14ac:dyDescent="0.3">
      <c r="A695" s="70">
        <f t="shared" si="75"/>
        <v>2.93</v>
      </c>
      <c r="B695" s="60">
        <v>0</v>
      </c>
      <c r="C695" s="70">
        <v>2.93</v>
      </c>
      <c r="D695" s="70">
        <v>1</v>
      </c>
      <c r="E695" s="71">
        <f t="shared" si="76"/>
        <v>-4.2924500000000005</v>
      </c>
      <c r="F695" s="72">
        <f t="shared" si="77"/>
        <v>5.4540952350565454E-3</v>
      </c>
      <c r="G695" s="70">
        <f t="shared" si="73"/>
        <v>9.9999999999997868E-3</v>
      </c>
      <c r="H695" s="60">
        <f t="shared" si="72"/>
        <v>5.4540952350564291E-5</v>
      </c>
      <c r="I695" s="60">
        <f t="shared" si="78"/>
        <v>0.99830132073569677</v>
      </c>
      <c r="J695" s="60">
        <f t="shared" si="74"/>
        <v>0.99830518998072271</v>
      </c>
    </row>
    <row r="696" spans="1:10" x14ac:dyDescent="0.3">
      <c r="A696" s="70">
        <f t="shared" si="75"/>
        <v>2.94</v>
      </c>
      <c r="B696" s="60">
        <v>0</v>
      </c>
      <c r="C696" s="70">
        <v>2.94</v>
      </c>
      <c r="D696" s="70">
        <v>1</v>
      </c>
      <c r="E696" s="71">
        <f t="shared" si="76"/>
        <v>-4.3217999999999996</v>
      </c>
      <c r="F696" s="72">
        <f t="shared" si="77"/>
        <v>5.2963438653110201E-3</v>
      </c>
      <c r="G696" s="70">
        <f t="shared" si="73"/>
        <v>1.0000000000000231E-2</v>
      </c>
      <c r="H696" s="60">
        <f t="shared" si="72"/>
        <v>5.2963438653111421E-5</v>
      </c>
      <c r="I696" s="60">
        <f t="shared" si="78"/>
        <v>0.9983542841743499</v>
      </c>
      <c r="J696" s="60">
        <f t="shared" si="74"/>
        <v>0.99835893876584303</v>
      </c>
    </row>
    <row r="697" spans="1:10" x14ac:dyDescent="0.3">
      <c r="A697" s="70">
        <f t="shared" si="75"/>
        <v>2.95</v>
      </c>
      <c r="B697" s="60">
        <v>0</v>
      </c>
      <c r="C697" s="70">
        <v>2.95</v>
      </c>
      <c r="D697" s="70">
        <v>1</v>
      </c>
      <c r="E697" s="71">
        <f t="shared" si="76"/>
        <v>-4.3512500000000003</v>
      </c>
      <c r="F697" s="72">
        <f t="shared" si="77"/>
        <v>5.1426409230539392E-3</v>
      </c>
      <c r="G697" s="70">
        <f t="shared" si="73"/>
        <v>9.9999999999997868E-3</v>
      </c>
      <c r="H697" s="60">
        <f t="shared" si="72"/>
        <v>5.1426409230538296E-5</v>
      </c>
      <c r="I697" s="60">
        <f t="shared" si="78"/>
        <v>0.99840571058358041</v>
      </c>
      <c r="J697" s="60">
        <f t="shared" si="74"/>
        <v>0.99841113035263518</v>
      </c>
    </row>
    <row r="698" spans="1:10" x14ac:dyDescent="0.3">
      <c r="A698" s="70">
        <f t="shared" si="75"/>
        <v>2.96</v>
      </c>
      <c r="B698" s="60">
        <v>0</v>
      </c>
      <c r="C698" s="70">
        <v>2.96</v>
      </c>
      <c r="D698" s="70">
        <v>1</v>
      </c>
      <c r="E698" s="71">
        <f t="shared" si="76"/>
        <v>-4.3807999999999998</v>
      </c>
      <c r="F698" s="72">
        <f t="shared" si="77"/>
        <v>4.9928992136123763E-3</v>
      </c>
      <c r="G698" s="70">
        <f t="shared" si="73"/>
        <v>1.0000000000000231E-2</v>
      </c>
      <c r="H698" s="60">
        <f t="shared" si="72"/>
        <v>4.9928992136124917E-5</v>
      </c>
      <c r="I698" s="60">
        <f t="shared" si="78"/>
        <v>0.99845563957571648</v>
      </c>
      <c r="J698" s="60">
        <f t="shared" si="74"/>
        <v>0.99846180478826196</v>
      </c>
    </row>
    <row r="699" spans="1:10" x14ac:dyDescent="0.3">
      <c r="A699" s="70">
        <f t="shared" si="75"/>
        <v>2.97</v>
      </c>
      <c r="B699" s="60">
        <v>0</v>
      </c>
      <c r="C699" s="70">
        <v>2.97</v>
      </c>
      <c r="D699" s="70">
        <v>1</v>
      </c>
      <c r="E699" s="71">
        <f t="shared" si="76"/>
        <v>-4.4104500000000009</v>
      </c>
      <c r="F699" s="72">
        <f t="shared" si="77"/>
        <v>4.847032905978944E-3</v>
      </c>
      <c r="G699" s="70">
        <f t="shared" si="73"/>
        <v>9.9999999999997868E-3</v>
      </c>
      <c r="H699" s="60">
        <f t="shared" si="72"/>
        <v>4.8470329059788405E-5</v>
      </c>
      <c r="I699" s="60">
        <f t="shared" si="78"/>
        <v>0.99850410990477623</v>
      </c>
      <c r="J699" s="60">
        <f t="shared" si="74"/>
        <v>0.99851100125476255</v>
      </c>
    </row>
    <row r="700" spans="1:10" x14ac:dyDescent="0.3">
      <c r="A700" s="70">
        <f t="shared" si="75"/>
        <v>2.98</v>
      </c>
      <c r="B700" s="60">
        <v>0</v>
      </c>
      <c r="C700" s="70">
        <v>2.98</v>
      </c>
      <c r="D700" s="70">
        <v>1</v>
      </c>
      <c r="E700" s="71">
        <f t="shared" si="76"/>
        <v>-4.4401999999999999</v>
      </c>
      <c r="F700" s="72">
        <f t="shared" si="77"/>
        <v>4.7049575269339792E-3</v>
      </c>
      <c r="G700" s="70">
        <f t="shared" si="73"/>
        <v>1.0000000000000231E-2</v>
      </c>
      <c r="H700" s="60">
        <f t="shared" si="72"/>
        <v>4.7049575269340881E-5</v>
      </c>
      <c r="I700" s="60">
        <f t="shared" si="78"/>
        <v>0.99855115948004558</v>
      </c>
      <c r="J700" s="60">
        <f t="shared" si="74"/>
        <v>0.99855875808266004</v>
      </c>
    </row>
    <row r="701" spans="1:10" x14ac:dyDescent="0.3">
      <c r="A701" s="70">
        <f t="shared" si="75"/>
        <v>2.99</v>
      </c>
      <c r="B701" s="60">
        <v>0</v>
      </c>
      <c r="C701" s="70">
        <v>2.99</v>
      </c>
      <c r="D701" s="70">
        <v>1</v>
      </c>
      <c r="E701" s="71">
        <f t="shared" si="76"/>
        <v>-4.4700500000000005</v>
      </c>
      <c r="F701" s="72">
        <f t="shared" si="77"/>
        <v>4.5665899546701444E-3</v>
      </c>
      <c r="G701" s="70">
        <f t="shared" si="73"/>
        <v>9.9999999999997868E-3</v>
      </c>
      <c r="H701" s="60">
        <f t="shared" si="72"/>
        <v>4.5665899546700472E-5</v>
      </c>
      <c r="I701" s="60">
        <f t="shared" si="78"/>
        <v>0.99859682537959227</v>
      </c>
      <c r="J701" s="60">
        <f t="shared" si="74"/>
        <v>0.99860511276450781</v>
      </c>
    </row>
    <row r="702" spans="1:10" x14ac:dyDescent="0.3">
      <c r="A702" s="70">
        <f t="shared" si="75"/>
        <v>3</v>
      </c>
      <c r="B702" s="60">
        <v>0</v>
      </c>
      <c r="C702" s="70">
        <v>3</v>
      </c>
      <c r="D702" s="70">
        <v>1</v>
      </c>
      <c r="E702" s="71">
        <f t="shared" si="76"/>
        <v>-4.5</v>
      </c>
      <c r="F702" s="72">
        <f t="shared" si="77"/>
        <v>4.4318484119380075E-3</v>
      </c>
      <c r="G702" s="70">
        <f t="shared" si="73"/>
        <v>9.9999999999997868E-3</v>
      </c>
      <c r="H702" s="60">
        <f t="shared" si="72"/>
        <v>4.4318484119379132E-5</v>
      </c>
      <c r="I702" s="60">
        <f t="shared" si="78"/>
        <v>0.99864114386371161</v>
      </c>
      <c r="J702" s="60">
        <f t="shared" si="74"/>
        <v>0.9986501019683699</v>
      </c>
    </row>
    <row r="703" spans="1:10" x14ac:dyDescent="0.3">
      <c r="A703" s="70">
        <f t="shared" si="75"/>
        <v>3.01</v>
      </c>
      <c r="B703" s="60">
        <v>0</v>
      </c>
      <c r="C703" s="70">
        <v>3.01</v>
      </c>
      <c r="D703" s="70">
        <v>1</v>
      </c>
      <c r="E703" s="71">
        <f t="shared" si="76"/>
        <v>-4.5300499999999992</v>
      </c>
      <c r="F703" s="72">
        <f t="shared" si="77"/>
        <v>4.3006524587304498E-3</v>
      </c>
      <c r="G703" s="70">
        <f t="shared" si="73"/>
        <v>1.0000000000000231E-2</v>
      </c>
      <c r="H703" s="60">
        <f t="shared" si="72"/>
        <v>4.3006524587305488E-5</v>
      </c>
      <c r="I703" s="60">
        <f t="shared" si="78"/>
        <v>0.99868415038829894</v>
      </c>
      <c r="J703" s="60">
        <f t="shared" si="74"/>
        <v>0.99869376155123057</v>
      </c>
    </row>
    <row r="704" spans="1:10" x14ac:dyDescent="0.3">
      <c r="A704" s="70">
        <f t="shared" si="75"/>
        <v>3.02</v>
      </c>
      <c r="B704" s="60">
        <v>0</v>
      </c>
      <c r="C704" s="70">
        <v>3.02</v>
      </c>
      <c r="D704" s="70">
        <v>1</v>
      </c>
      <c r="E704" s="71">
        <f t="shared" si="76"/>
        <v>-4.5602</v>
      </c>
      <c r="F704" s="72">
        <f t="shared" si="77"/>
        <v>4.1729229845239623E-3</v>
      </c>
      <c r="G704" s="70">
        <f t="shared" si="73"/>
        <v>9.9999999999997868E-3</v>
      </c>
      <c r="H704" s="60">
        <f t="shared" ref="H704:H767" si="79">F704*G704</f>
        <v>4.1729229845238734E-5</v>
      </c>
      <c r="I704" s="60">
        <f t="shared" si="78"/>
        <v>0.99872587961814419</v>
      </c>
      <c r="J704" s="60">
        <f t="shared" si="74"/>
        <v>0.99873612657232769</v>
      </c>
    </row>
    <row r="705" spans="1:10" x14ac:dyDescent="0.3">
      <c r="A705" s="70">
        <f t="shared" si="75"/>
        <v>3.03</v>
      </c>
      <c r="B705" s="60">
        <v>0</v>
      </c>
      <c r="C705" s="70">
        <v>3.03</v>
      </c>
      <c r="D705" s="70">
        <v>1</v>
      </c>
      <c r="E705" s="71">
        <f t="shared" si="76"/>
        <v>-4.5904499999999997</v>
      </c>
      <c r="F705" s="72">
        <f t="shared" si="77"/>
        <v>4.04858220009443E-3</v>
      </c>
      <c r="G705" s="70">
        <f t="shared" si="73"/>
        <v>1.0000000000000231E-2</v>
      </c>
      <c r="H705" s="60">
        <f t="shared" si="79"/>
        <v>4.0485822000945233E-5</v>
      </c>
      <c r="I705" s="60">
        <f t="shared" si="78"/>
        <v>0.99876636544014508</v>
      </c>
      <c r="J705" s="60">
        <f t="shared" si="74"/>
        <v>0.99877723130640772</v>
      </c>
    </row>
    <row r="706" spans="1:10" x14ac:dyDescent="0.3">
      <c r="A706" s="70">
        <f t="shared" si="75"/>
        <v>3.04</v>
      </c>
      <c r="B706" s="60">
        <v>0</v>
      </c>
      <c r="C706" s="70">
        <v>3.04</v>
      </c>
      <c r="D706" s="70">
        <v>1</v>
      </c>
      <c r="E706" s="71">
        <f t="shared" si="76"/>
        <v>-4.6208</v>
      </c>
      <c r="F706" s="72">
        <f t="shared" si="77"/>
        <v>3.9275536289247789E-3</v>
      </c>
      <c r="G706" s="70">
        <f t="shared" ref="G706:G769" si="80">C707-C706</f>
        <v>9.9999999999997868E-3</v>
      </c>
      <c r="H706" s="60">
        <f t="shared" si="79"/>
        <v>3.9275536289246951E-5</v>
      </c>
      <c r="I706" s="60">
        <f t="shared" si="78"/>
        <v>0.99880564097643432</v>
      </c>
      <c r="J706" s="60">
        <f t="shared" ref="J706:J769" si="81">NORMSDIST(C706)</f>
        <v>0.9988171092568956</v>
      </c>
    </row>
    <row r="707" spans="1:10" x14ac:dyDescent="0.3">
      <c r="A707" s="70">
        <f t="shared" ref="A707:A770" si="82">B707+C707</f>
        <v>3.05</v>
      </c>
      <c r="B707" s="60">
        <v>0</v>
      </c>
      <c r="C707" s="70">
        <v>3.05</v>
      </c>
      <c r="D707" s="70">
        <v>1</v>
      </c>
      <c r="E707" s="71">
        <f t="shared" ref="E707:E770" si="83">-(A707-B707)*(A707-B707)/2</f>
        <v>-4.6512499999999992</v>
      </c>
      <c r="F707" s="72">
        <f t="shared" ref="F707:F770" si="84">(1/SQRT(2*PI()))*(EXP(E707))</f>
        <v>3.8097620982218104E-3</v>
      </c>
      <c r="G707" s="70">
        <f t="shared" si="80"/>
        <v>1.0000000000000231E-2</v>
      </c>
      <c r="H707" s="60">
        <f t="shared" si="79"/>
        <v>3.8097620982218986E-5</v>
      </c>
      <c r="I707" s="60">
        <f t="shared" si="78"/>
        <v>0.99884373859741649</v>
      </c>
      <c r="J707" s="60">
        <f t="shared" si="81"/>
        <v>0.99885579316897732</v>
      </c>
    </row>
    <row r="708" spans="1:10" x14ac:dyDescent="0.3">
      <c r="A708" s="70">
        <f t="shared" si="82"/>
        <v>3.06</v>
      </c>
      <c r="B708" s="60">
        <v>0</v>
      </c>
      <c r="C708" s="70">
        <v>3.06</v>
      </c>
      <c r="D708" s="70">
        <v>1</v>
      </c>
      <c r="E708" s="71">
        <f t="shared" si="83"/>
        <v>-4.6818</v>
      </c>
      <c r="F708" s="72">
        <f t="shared" si="84"/>
        <v>3.6951337295590349E-3</v>
      </c>
      <c r="G708" s="70">
        <f t="shared" si="80"/>
        <v>9.9999999999997868E-3</v>
      </c>
      <c r="H708" s="60">
        <f t="shared" si="79"/>
        <v>3.6951337295589563E-5</v>
      </c>
      <c r="I708" s="60">
        <f t="shared" si="78"/>
        <v>0.99888068993471213</v>
      </c>
      <c r="J708" s="60">
        <f t="shared" si="81"/>
        <v>0.99889331504259071</v>
      </c>
    </row>
    <row r="709" spans="1:10" x14ac:dyDescent="0.3">
      <c r="A709" s="70">
        <f t="shared" si="82"/>
        <v>3.07</v>
      </c>
      <c r="B709" s="60">
        <v>0</v>
      </c>
      <c r="C709" s="70">
        <v>3.07</v>
      </c>
      <c r="D709" s="70">
        <v>1</v>
      </c>
      <c r="E709" s="71">
        <f t="shared" si="83"/>
        <v>-4.7124499999999996</v>
      </c>
      <c r="F709" s="72">
        <f t="shared" si="84"/>
        <v>3.5835959291623614E-3</v>
      </c>
      <c r="G709" s="70">
        <f t="shared" si="80"/>
        <v>1.0000000000000231E-2</v>
      </c>
      <c r="H709" s="60">
        <f t="shared" si="79"/>
        <v>3.583595929162444E-5</v>
      </c>
      <c r="I709" s="60">
        <f t="shared" si="78"/>
        <v>0.9989165258940037</v>
      </c>
      <c r="J709" s="60">
        <f t="shared" si="81"/>
        <v>0.99892970614532106</v>
      </c>
    </row>
    <row r="710" spans="1:10" x14ac:dyDescent="0.3">
      <c r="A710" s="70">
        <f t="shared" si="82"/>
        <v>3.08</v>
      </c>
      <c r="B710" s="60">
        <v>0</v>
      </c>
      <c r="C710" s="70">
        <v>3.08</v>
      </c>
      <c r="D710" s="70">
        <v>1</v>
      </c>
      <c r="E710" s="71">
        <f t="shared" si="83"/>
        <v>-4.7431999999999999</v>
      </c>
      <c r="F710" s="72">
        <f t="shared" si="84"/>
        <v>3.4750773778549375E-3</v>
      </c>
      <c r="G710" s="70">
        <f t="shared" si="80"/>
        <v>9.9999999999997868E-3</v>
      </c>
      <c r="H710" s="60">
        <f t="shared" si="79"/>
        <v>3.4750773778548631E-5</v>
      </c>
      <c r="I710" s="60">
        <f t="shared" si="78"/>
        <v>0.99895127666778227</v>
      </c>
      <c r="J710" s="60">
        <f t="shared" si="81"/>
        <v>0.99896499702519714</v>
      </c>
    </row>
    <row r="711" spans="1:10" x14ac:dyDescent="0.3">
      <c r="A711" s="70">
        <f t="shared" si="82"/>
        <v>3.09</v>
      </c>
      <c r="B711" s="60">
        <v>0</v>
      </c>
      <c r="C711" s="70">
        <v>3.09</v>
      </c>
      <c r="D711" s="70">
        <v>1</v>
      </c>
      <c r="E711" s="71">
        <f t="shared" si="83"/>
        <v>-4.7740499999999999</v>
      </c>
      <c r="F711" s="72">
        <f t="shared" si="84"/>
        <v>3.3695080206774812E-3</v>
      </c>
      <c r="G711" s="70">
        <f t="shared" si="80"/>
        <v>1.0000000000000231E-2</v>
      </c>
      <c r="H711" s="60">
        <f t="shared" si="79"/>
        <v>3.369508020677559E-5</v>
      </c>
      <c r="I711" s="60">
        <f t="shared" si="78"/>
        <v>0.99898497174798906</v>
      </c>
      <c r="J711" s="60">
        <f t="shared" si="81"/>
        <v>0.99899921752338594</v>
      </c>
    </row>
    <row r="712" spans="1:10" x14ac:dyDescent="0.3">
      <c r="A712" s="70">
        <f t="shared" si="82"/>
        <v>3.1</v>
      </c>
      <c r="B712" s="60">
        <v>0</v>
      </c>
      <c r="C712" s="70">
        <v>3.1</v>
      </c>
      <c r="D712" s="70">
        <v>1</v>
      </c>
      <c r="E712" s="71">
        <f t="shared" si="83"/>
        <v>-4.8050000000000006</v>
      </c>
      <c r="F712" s="72">
        <f t="shared" si="84"/>
        <v>3.2668190561999182E-3</v>
      </c>
      <c r="G712" s="70">
        <f t="shared" si="80"/>
        <v>9.9999999999997868E-3</v>
      </c>
      <c r="H712" s="60">
        <f t="shared" si="79"/>
        <v>3.2668190561998486E-5</v>
      </c>
      <c r="I712" s="60">
        <f t="shared" si="78"/>
        <v>0.99901763993855108</v>
      </c>
      <c r="J712" s="60">
        <f t="shared" si="81"/>
        <v>0.99903239678678168</v>
      </c>
    </row>
    <row r="713" spans="1:10" x14ac:dyDescent="0.3">
      <c r="A713" s="70">
        <f t="shared" si="82"/>
        <v>3.11</v>
      </c>
      <c r="B713" s="60">
        <v>0</v>
      </c>
      <c r="C713" s="70">
        <v>3.11</v>
      </c>
      <c r="D713" s="70">
        <v>1</v>
      </c>
      <c r="E713" s="71">
        <f t="shared" si="83"/>
        <v>-4.8360499999999993</v>
      </c>
      <c r="F713" s="72">
        <f t="shared" si="84"/>
        <v>3.1669429255400811E-3</v>
      </c>
      <c r="G713" s="70">
        <f t="shared" si="80"/>
        <v>1.0000000000000231E-2</v>
      </c>
      <c r="H713" s="60">
        <f t="shared" si="79"/>
        <v>3.166942925540154E-5</v>
      </c>
      <c r="I713" s="60">
        <f t="shared" si="78"/>
        <v>0.99904930936780645</v>
      </c>
      <c r="J713" s="60">
        <f t="shared" si="81"/>
        <v>0.99906456328048587</v>
      </c>
    </row>
    <row r="714" spans="1:10" x14ac:dyDescent="0.3">
      <c r="A714" s="70">
        <f t="shared" si="82"/>
        <v>3.12</v>
      </c>
      <c r="B714" s="60">
        <v>0</v>
      </c>
      <c r="C714" s="70">
        <v>3.12</v>
      </c>
      <c r="D714" s="70">
        <v>1</v>
      </c>
      <c r="E714" s="71">
        <f t="shared" si="83"/>
        <v>-4.8672000000000004</v>
      </c>
      <c r="F714" s="72">
        <f t="shared" si="84"/>
        <v>3.0698133011047403E-3</v>
      </c>
      <c r="G714" s="70">
        <f t="shared" si="80"/>
        <v>9.9999999999997868E-3</v>
      </c>
      <c r="H714" s="60">
        <f t="shared" si="79"/>
        <v>3.0698133011046747E-5</v>
      </c>
      <c r="I714" s="60">
        <f t="shared" si="78"/>
        <v>0.99908000750081749</v>
      </c>
      <c r="J714" s="60">
        <f t="shared" si="81"/>
        <v>0.99909574480017771</v>
      </c>
    </row>
    <row r="715" spans="1:10" x14ac:dyDescent="0.3">
      <c r="A715" s="70">
        <f t="shared" si="82"/>
        <v>3.13</v>
      </c>
      <c r="B715" s="60">
        <v>0</v>
      </c>
      <c r="C715" s="70">
        <v>3.13</v>
      </c>
      <c r="D715" s="70">
        <v>1</v>
      </c>
      <c r="E715" s="71">
        <f t="shared" si="83"/>
        <v>-4.8984499999999995</v>
      </c>
      <c r="F715" s="72">
        <f t="shared" si="84"/>
        <v>2.9753650750682535E-3</v>
      </c>
      <c r="G715" s="70">
        <f t="shared" si="80"/>
        <v>1.0000000000000231E-2</v>
      </c>
      <c r="H715" s="60">
        <f t="shared" si="79"/>
        <v>2.9753650750683223E-5</v>
      </c>
      <c r="I715" s="60">
        <f t="shared" si="78"/>
        <v>0.99910976115156813</v>
      </c>
      <c r="J715" s="60">
        <f t="shared" si="81"/>
        <v>0.99912596848436841</v>
      </c>
    </row>
    <row r="716" spans="1:10" x14ac:dyDescent="0.3">
      <c r="A716" s="70">
        <f t="shared" si="82"/>
        <v>3.14</v>
      </c>
      <c r="B716" s="60">
        <v>0</v>
      </c>
      <c r="C716" s="70">
        <v>3.14</v>
      </c>
      <c r="D716" s="70">
        <v>1</v>
      </c>
      <c r="E716" s="71">
        <f t="shared" si="83"/>
        <v>-4.9298000000000002</v>
      </c>
      <c r="F716" s="72">
        <f t="shared" si="84"/>
        <v>2.8835343476034392E-3</v>
      </c>
      <c r="G716" s="70">
        <f t="shared" si="80"/>
        <v>9.9999999999997868E-3</v>
      </c>
      <c r="H716" s="60">
        <f t="shared" si="79"/>
        <v>2.8835343476033776E-5</v>
      </c>
      <c r="I716" s="60">
        <f t="shared" si="78"/>
        <v>0.99913859649504422</v>
      </c>
      <c r="J716" s="60">
        <f t="shared" si="81"/>
        <v>0.99915526082654138</v>
      </c>
    </row>
    <row r="717" spans="1:10" x14ac:dyDescent="0.3">
      <c r="A717" s="70">
        <f t="shared" si="82"/>
        <v>3.15</v>
      </c>
      <c r="B717" s="60">
        <v>0</v>
      </c>
      <c r="C717" s="70">
        <v>3.15</v>
      </c>
      <c r="D717" s="70">
        <v>1</v>
      </c>
      <c r="E717" s="71">
        <f t="shared" si="83"/>
        <v>-4.9612499999999997</v>
      </c>
      <c r="F717" s="72">
        <f t="shared" si="84"/>
        <v>2.7942584148794472E-3</v>
      </c>
      <c r="G717" s="70">
        <f t="shared" si="80"/>
        <v>1.0000000000000231E-2</v>
      </c>
      <c r="H717" s="60">
        <f t="shared" si="79"/>
        <v>2.7942584148795119E-5</v>
      </c>
      <c r="I717" s="60">
        <f t="shared" si="78"/>
        <v>0.99916653907919306</v>
      </c>
      <c r="J717" s="60">
        <f t="shared" si="81"/>
        <v>0.99918364768717138</v>
      </c>
    </row>
    <row r="718" spans="1:10" x14ac:dyDescent="0.3">
      <c r="A718" s="70">
        <f t="shared" si="82"/>
        <v>3.16</v>
      </c>
      <c r="B718" s="60">
        <v>0</v>
      </c>
      <c r="C718" s="70">
        <v>3.16</v>
      </c>
      <c r="D718" s="70">
        <v>1</v>
      </c>
      <c r="E718" s="71">
        <f t="shared" si="83"/>
        <v>-4.9928000000000008</v>
      </c>
      <c r="F718" s="72">
        <f t="shared" si="84"/>
        <v>2.7074757568406999E-3</v>
      </c>
      <c r="G718" s="70">
        <f t="shared" si="80"/>
        <v>9.9999999999997868E-3</v>
      </c>
      <c r="H718" s="60">
        <f t="shared" si="79"/>
        <v>2.7074757568406422E-5</v>
      </c>
      <c r="I718" s="60">
        <f t="shared" si="78"/>
        <v>0.99919361383676142</v>
      </c>
      <c r="J718" s="60">
        <f t="shared" si="81"/>
        <v>0.99921115430562446</v>
      </c>
    </row>
    <row r="719" spans="1:10" x14ac:dyDescent="0.3">
      <c r="A719" s="70">
        <f t="shared" si="82"/>
        <v>3.17</v>
      </c>
      <c r="B719" s="60">
        <v>0</v>
      </c>
      <c r="C719" s="70">
        <v>3.17</v>
      </c>
      <c r="D719" s="70">
        <v>1</v>
      </c>
      <c r="E719" s="71">
        <f t="shared" si="83"/>
        <v>-5.0244499999999999</v>
      </c>
      <c r="F719" s="72">
        <f t="shared" si="84"/>
        <v>2.6231260247810244E-3</v>
      </c>
      <c r="G719" s="70">
        <f t="shared" si="80"/>
        <v>1.0000000000000231E-2</v>
      </c>
      <c r="H719" s="60">
        <f t="shared" si="79"/>
        <v>2.623126024781085E-5</v>
      </c>
      <c r="I719" s="60">
        <f t="shared" si="78"/>
        <v>0.99921984509700923</v>
      </c>
      <c r="J719" s="60">
        <f t="shared" si="81"/>
        <v>0.99923780531193274</v>
      </c>
    </row>
    <row r="720" spans="1:10" x14ac:dyDescent="0.3">
      <c r="A720" s="70">
        <f t="shared" si="82"/>
        <v>3.18</v>
      </c>
      <c r="B720" s="60">
        <v>0</v>
      </c>
      <c r="C720" s="70">
        <v>3.18</v>
      </c>
      <c r="D720" s="70">
        <v>1</v>
      </c>
      <c r="E720" s="71">
        <f t="shared" si="83"/>
        <v>-5.0562000000000005</v>
      </c>
      <c r="F720" s="72">
        <f t="shared" si="84"/>
        <v>2.5411500287265214E-3</v>
      </c>
      <c r="G720" s="70">
        <f t="shared" si="80"/>
        <v>9.9999999999997868E-3</v>
      </c>
      <c r="H720" s="60">
        <f t="shared" si="79"/>
        <v>2.5411500287264674E-5</v>
      </c>
      <c r="I720" s="60">
        <f t="shared" si="78"/>
        <v>0.99924525659729646</v>
      </c>
      <c r="J720" s="60">
        <f t="shared" si="81"/>
        <v>0.9992636247384461</v>
      </c>
    </row>
    <row r="721" spans="1:10" x14ac:dyDescent="0.3">
      <c r="A721" s="70">
        <f t="shared" si="82"/>
        <v>3.19</v>
      </c>
      <c r="B721" s="60">
        <v>0</v>
      </c>
      <c r="C721" s="70">
        <v>3.19</v>
      </c>
      <c r="D721" s="70">
        <v>1</v>
      </c>
      <c r="E721" s="71">
        <f t="shared" si="83"/>
        <v>-5.08805</v>
      </c>
      <c r="F721" s="72">
        <f t="shared" si="84"/>
        <v>2.4614897246407006E-3</v>
      </c>
      <c r="G721" s="70">
        <f t="shared" si="80"/>
        <v>1.0000000000000231E-2</v>
      </c>
      <c r="H721" s="60">
        <f t="shared" si="79"/>
        <v>2.4614897246407575E-5</v>
      </c>
      <c r="I721" s="60">
        <f t="shared" si="78"/>
        <v>0.99926987149454283</v>
      </c>
      <c r="J721" s="60">
        <f t="shared" si="81"/>
        <v>0.99928863603135465</v>
      </c>
    </row>
    <row r="722" spans="1:10" x14ac:dyDescent="0.3">
      <c r="A722" s="70">
        <f t="shared" si="82"/>
        <v>3.2</v>
      </c>
      <c r="B722" s="60">
        <v>0</v>
      </c>
      <c r="C722" s="70">
        <v>3.2</v>
      </c>
      <c r="D722" s="70">
        <v>1</v>
      </c>
      <c r="E722" s="71">
        <f t="shared" si="83"/>
        <v>-5.120000000000001</v>
      </c>
      <c r="F722" s="72">
        <f t="shared" si="84"/>
        <v>2.3840882014648404E-3</v>
      </c>
      <c r="G722" s="70">
        <f t="shared" si="80"/>
        <v>9.9999999999997868E-3</v>
      </c>
      <c r="H722" s="60">
        <f t="shared" si="79"/>
        <v>2.3840882014647895E-5</v>
      </c>
      <c r="I722" s="60">
        <f t="shared" si="78"/>
        <v>0.99929371237655751</v>
      </c>
      <c r="J722" s="60">
        <f t="shared" si="81"/>
        <v>0.99931286206208414</v>
      </c>
    </row>
    <row r="723" spans="1:10" x14ac:dyDescent="0.3">
      <c r="A723" s="70">
        <f t="shared" si="82"/>
        <v>3.21</v>
      </c>
      <c r="B723" s="60">
        <v>0</v>
      </c>
      <c r="C723" s="70">
        <v>3.21</v>
      </c>
      <c r="D723" s="70">
        <v>1</v>
      </c>
      <c r="E723" s="71">
        <f t="shared" si="83"/>
        <v>-5.15205</v>
      </c>
      <c r="F723" s="72">
        <f t="shared" si="84"/>
        <v>2.3088896680064958E-3</v>
      </c>
      <c r="G723" s="70">
        <f t="shared" si="80"/>
        <v>1.0000000000000231E-2</v>
      </c>
      <c r="H723" s="60">
        <f t="shared" si="79"/>
        <v>2.3088896680065492E-5</v>
      </c>
      <c r="I723" s="60">
        <f t="shared" ref="I723:I786" si="85">H723+I722</f>
        <v>0.99931680127323752</v>
      </c>
      <c r="J723" s="60">
        <f t="shared" si="81"/>
        <v>0.99933632513856008</v>
      </c>
    </row>
    <row r="724" spans="1:10" x14ac:dyDescent="0.3">
      <c r="A724" s="70">
        <f t="shared" si="82"/>
        <v>3.22</v>
      </c>
      <c r="B724" s="60">
        <v>0</v>
      </c>
      <c r="C724" s="70">
        <v>3.22</v>
      </c>
      <c r="D724" s="70">
        <v>1</v>
      </c>
      <c r="E724" s="71">
        <f t="shared" si="83"/>
        <v>-5.1842000000000006</v>
      </c>
      <c r="F724" s="72">
        <f t="shared" si="84"/>
        <v>2.2358394396885385E-3</v>
      </c>
      <c r="G724" s="70">
        <f t="shared" si="80"/>
        <v>9.9999999999997868E-3</v>
      </c>
      <c r="H724" s="60">
        <f t="shared" si="79"/>
        <v>2.2358394396884907E-5</v>
      </c>
      <c r="I724" s="60">
        <f t="shared" si="85"/>
        <v>0.99933915966763442</v>
      </c>
      <c r="J724" s="60">
        <f t="shared" si="81"/>
        <v>0.99935904701633993</v>
      </c>
    </row>
    <row r="725" spans="1:10" x14ac:dyDescent="0.3">
      <c r="A725" s="70">
        <f t="shared" si="82"/>
        <v>3.23</v>
      </c>
      <c r="B725" s="60">
        <v>0</v>
      </c>
      <c r="C725" s="70">
        <v>3.23</v>
      </c>
      <c r="D725" s="70">
        <v>1</v>
      </c>
      <c r="E725" s="71">
        <f t="shared" si="83"/>
        <v>-5.21645</v>
      </c>
      <c r="F725" s="72">
        <f t="shared" si="84"/>
        <v>2.164883925171062E-3</v>
      </c>
      <c r="G725" s="70">
        <f t="shared" si="80"/>
        <v>1.0000000000000231E-2</v>
      </c>
      <c r="H725" s="60">
        <f t="shared" si="79"/>
        <v>2.1648839251711119E-5</v>
      </c>
      <c r="I725" s="60">
        <f t="shared" si="85"/>
        <v>0.99936080850688613</v>
      </c>
      <c r="J725" s="60">
        <f t="shared" si="81"/>
        <v>0.99938104890961321</v>
      </c>
    </row>
    <row r="726" spans="1:10" x14ac:dyDescent="0.3">
      <c r="A726" s="70">
        <f t="shared" si="82"/>
        <v>3.24</v>
      </c>
      <c r="B726" s="60">
        <v>0</v>
      </c>
      <c r="C726" s="70">
        <v>3.24</v>
      </c>
      <c r="D726" s="70">
        <v>1</v>
      </c>
      <c r="E726" s="71">
        <f t="shared" si="83"/>
        <v>-5.248800000000001</v>
      </c>
      <c r="F726" s="72">
        <f t="shared" si="84"/>
        <v>2.0959706128579419E-3</v>
      </c>
      <c r="G726" s="70">
        <f t="shared" si="80"/>
        <v>9.9999999999997868E-3</v>
      </c>
      <c r="H726" s="60">
        <f t="shared" si="79"/>
        <v>2.0959706128578973E-5</v>
      </c>
      <c r="I726" s="60">
        <f t="shared" si="85"/>
        <v>0.99938176821301472</v>
      </c>
      <c r="J726" s="60">
        <f t="shared" si="81"/>
        <v>0.99940235150206558</v>
      </c>
    </row>
    <row r="727" spans="1:10" x14ac:dyDescent="0.3">
      <c r="A727" s="70">
        <f t="shared" si="82"/>
        <v>3.25</v>
      </c>
      <c r="B727" s="60">
        <v>0</v>
      </c>
      <c r="C727" s="70">
        <v>3.25</v>
      </c>
      <c r="D727" s="70">
        <v>1</v>
      </c>
      <c r="E727" s="71">
        <f t="shared" si="83"/>
        <v>-5.28125</v>
      </c>
      <c r="F727" s="72">
        <f t="shared" si="84"/>
        <v>2.0290480572997681E-3</v>
      </c>
      <c r="G727" s="70">
        <f t="shared" si="80"/>
        <v>9.9999999999997868E-3</v>
      </c>
      <c r="H727" s="60">
        <f t="shared" si="79"/>
        <v>2.029048057299725E-5</v>
      </c>
      <c r="I727" s="60">
        <f t="shared" si="85"/>
        <v>0.99940205869358767</v>
      </c>
      <c r="J727" s="60">
        <f t="shared" si="81"/>
        <v>0.99942297495760923</v>
      </c>
    </row>
    <row r="728" spans="1:10" x14ac:dyDescent="0.3">
      <c r="A728" s="70">
        <f t="shared" si="82"/>
        <v>3.26</v>
      </c>
      <c r="B728" s="60">
        <v>0</v>
      </c>
      <c r="C728" s="70">
        <v>3.26</v>
      </c>
      <c r="D728" s="70">
        <v>1</v>
      </c>
      <c r="E728" s="71">
        <f t="shared" si="83"/>
        <v>-5.3137999999999996</v>
      </c>
      <c r="F728" s="72">
        <f t="shared" si="84"/>
        <v>1.9640658655043761E-3</v>
      </c>
      <c r="G728" s="70">
        <f t="shared" si="80"/>
        <v>1.0000000000000231E-2</v>
      </c>
      <c r="H728" s="60">
        <f t="shared" si="79"/>
        <v>1.9640658655044214E-5</v>
      </c>
      <c r="I728" s="60">
        <f t="shared" si="85"/>
        <v>0.99942169935224268</v>
      </c>
      <c r="J728" s="60">
        <f t="shared" si="81"/>
        <v>0.99944293893097536</v>
      </c>
    </row>
    <row r="729" spans="1:10" x14ac:dyDescent="0.3">
      <c r="A729" s="70">
        <f t="shared" si="82"/>
        <v>3.27</v>
      </c>
      <c r="B729" s="60">
        <v>0</v>
      </c>
      <c r="C729" s="70">
        <v>3.27</v>
      </c>
      <c r="D729" s="70">
        <v>1</v>
      </c>
      <c r="E729" s="71">
        <f t="shared" si="83"/>
        <v>-5.3464499999999999</v>
      </c>
      <c r="F729" s="72">
        <f t="shared" si="84"/>
        <v>1.9009746831660803E-3</v>
      </c>
      <c r="G729" s="70">
        <f t="shared" si="80"/>
        <v>9.9999999999997868E-3</v>
      </c>
      <c r="H729" s="60">
        <f t="shared" si="79"/>
        <v>1.9009746831660398E-5</v>
      </c>
      <c r="I729" s="60">
        <f t="shared" si="85"/>
        <v>0.99944070909907434</v>
      </c>
      <c r="J729" s="60">
        <f t="shared" si="81"/>
        <v>0.99946226257817028</v>
      </c>
    </row>
    <row r="730" spans="1:10" x14ac:dyDescent="0.3">
      <c r="A730" s="70">
        <f t="shared" si="82"/>
        <v>3.28</v>
      </c>
      <c r="B730" s="60">
        <v>0</v>
      </c>
      <c r="C730" s="70">
        <v>3.28</v>
      </c>
      <c r="D730" s="70">
        <v>1</v>
      </c>
      <c r="E730" s="71">
        <f t="shared" si="83"/>
        <v>-5.3791999999999991</v>
      </c>
      <c r="F730" s="72">
        <f t="shared" si="84"/>
        <v>1.839726180824281E-3</v>
      </c>
      <c r="G730" s="70">
        <f t="shared" si="80"/>
        <v>1.0000000000000231E-2</v>
      </c>
      <c r="H730" s="60">
        <f t="shared" si="79"/>
        <v>1.8397261808243234E-5</v>
      </c>
      <c r="I730" s="60">
        <f t="shared" si="85"/>
        <v>0.99945910636088253</v>
      </c>
      <c r="J730" s="60">
        <f t="shared" si="81"/>
        <v>0.99948096456679303</v>
      </c>
    </row>
    <row r="731" spans="1:10" x14ac:dyDescent="0.3">
      <c r="A731" s="70">
        <f t="shared" si="82"/>
        <v>3.29</v>
      </c>
      <c r="B731" s="60">
        <v>0</v>
      </c>
      <c r="C731" s="70">
        <v>3.29</v>
      </c>
      <c r="D731" s="70">
        <v>1</v>
      </c>
      <c r="E731" s="71">
        <f t="shared" si="83"/>
        <v>-5.4120499999999998</v>
      </c>
      <c r="F731" s="72">
        <f t="shared" si="84"/>
        <v>1.7802730399618786E-3</v>
      </c>
      <c r="G731" s="70">
        <f t="shared" si="80"/>
        <v>9.9999999999997868E-3</v>
      </c>
      <c r="H731" s="60">
        <f t="shared" si="79"/>
        <v>1.7802730399618408E-5</v>
      </c>
      <c r="I731" s="60">
        <f t="shared" si="85"/>
        <v>0.99947690909128217</v>
      </c>
      <c r="J731" s="60">
        <f t="shared" si="81"/>
        <v>0.99949906308621428</v>
      </c>
    </row>
    <row r="732" spans="1:10" x14ac:dyDescent="0.3">
      <c r="A732" s="70">
        <f t="shared" si="82"/>
        <v>3.3</v>
      </c>
      <c r="B732" s="60">
        <v>0</v>
      </c>
      <c r="C732" s="70">
        <v>3.3</v>
      </c>
      <c r="D732" s="70">
        <v>1</v>
      </c>
      <c r="E732" s="71">
        <f t="shared" si="83"/>
        <v>-5.4449999999999994</v>
      </c>
      <c r="F732" s="72">
        <f t="shared" si="84"/>
        <v>1.7225689390536812E-3</v>
      </c>
      <c r="G732" s="70">
        <f t="shared" si="80"/>
        <v>1.0000000000000231E-2</v>
      </c>
      <c r="H732" s="60">
        <f t="shared" si="79"/>
        <v>1.7225689390537209E-5</v>
      </c>
      <c r="I732" s="60">
        <f t="shared" si="85"/>
        <v>0.99949413478067273</v>
      </c>
      <c r="J732" s="60">
        <f t="shared" si="81"/>
        <v>0.99951657585761622</v>
      </c>
    </row>
    <row r="733" spans="1:10" x14ac:dyDescent="0.3">
      <c r="A733" s="70">
        <f t="shared" si="82"/>
        <v>3.31</v>
      </c>
      <c r="B733" s="60">
        <v>0</v>
      </c>
      <c r="C733" s="70">
        <v>3.31</v>
      </c>
      <c r="D733" s="70">
        <v>1</v>
      </c>
      <c r="E733" s="71">
        <f t="shared" si="83"/>
        <v>-5.4780500000000005</v>
      </c>
      <c r="F733" s="72">
        <f t="shared" si="84"/>
        <v>1.6665685395745797E-3</v>
      </c>
      <c r="G733" s="70">
        <f t="shared" si="80"/>
        <v>9.9999999999997868E-3</v>
      </c>
      <c r="H733" s="60">
        <f t="shared" si="79"/>
        <v>1.6665685395745442E-5</v>
      </c>
      <c r="I733" s="60">
        <f t="shared" si="85"/>
        <v>0.99951080046606844</v>
      </c>
      <c r="J733" s="60">
        <f t="shared" si="81"/>
        <v>0.99953352014389241</v>
      </c>
    </row>
    <row r="734" spans="1:10" x14ac:dyDescent="0.3">
      <c r="A734" s="70">
        <f t="shared" si="82"/>
        <v>3.32</v>
      </c>
      <c r="B734" s="60">
        <v>0</v>
      </c>
      <c r="C734" s="70">
        <v>3.32</v>
      </c>
      <c r="D734" s="70">
        <v>1</v>
      </c>
      <c r="E734" s="71">
        <f t="shared" si="83"/>
        <v>-5.5111999999999997</v>
      </c>
      <c r="F734" s="72">
        <f t="shared" si="84"/>
        <v>1.6122274719771244E-3</v>
      </c>
      <c r="G734" s="70">
        <f t="shared" si="80"/>
        <v>1.0000000000000231E-2</v>
      </c>
      <c r="H734" s="60">
        <f t="shared" si="79"/>
        <v>1.6122274719771616E-5</v>
      </c>
      <c r="I734" s="60">
        <f t="shared" si="85"/>
        <v>0.99952692274078825</v>
      </c>
      <c r="J734" s="60">
        <f t="shared" si="81"/>
        <v>0.99954991275940785</v>
      </c>
    </row>
    <row r="735" spans="1:10" x14ac:dyDescent="0.3">
      <c r="A735" s="70">
        <f t="shared" si="82"/>
        <v>3.33</v>
      </c>
      <c r="B735" s="60">
        <v>0</v>
      </c>
      <c r="C735" s="70">
        <v>3.33</v>
      </c>
      <c r="D735" s="70">
        <v>1</v>
      </c>
      <c r="E735" s="71">
        <f t="shared" si="83"/>
        <v>-5.5444500000000003</v>
      </c>
      <c r="F735" s="72">
        <f t="shared" si="84"/>
        <v>1.5595023216476915E-3</v>
      </c>
      <c r="G735" s="70">
        <f t="shared" si="80"/>
        <v>9.9999999999997868E-3</v>
      </c>
      <c r="H735" s="60">
        <f t="shared" si="79"/>
        <v>1.5595023216476582E-5</v>
      </c>
      <c r="I735" s="60">
        <f t="shared" si="85"/>
        <v>0.99954251776400471</v>
      </c>
      <c r="J735" s="60">
        <f t="shared" si="81"/>
        <v>0.99956577007961833</v>
      </c>
    </row>
    <row r="736" spans="1:10" x14ac:dyDescent="0.3">
      <c r="A736" s="70">
        <f t="shared" si="82"/>
        <v>3.34</v>
      </c>
      <c r="B736" s="60">
        <v>0</v>
      </c>
      <c r="C736" s="70">
        <v>3.34</v>
      </c>
      <c r="D736" s="70">
        <v>1</v>
      </c>
      <c r="E736" s="71">
        <f t="shared" si="83"/>
        <v>-5.5777999999999999</v>
      </c>
      <c r="F736" s="72">
        <f t="shared" si="84"/>
        <v>1.5083506148503073E-3</v>
      </c>
      <c r="G736" s="70">
        <f t="shared" si="80"/>
        <v>1.0000000000000231E-2</v>
      </c>
      <c r="H736" s="60">
        <f t="shared" si="79"/>
        <v>1.5083506148503421E-5</v>
      </c>
      <c r="I736" s="60">
        <f t="shared" si="85"/>
        <v>0.99955760127015325</v>
      </c>
      <c r="J736" s="60">
        <f t="shared" si="81"/>
        <v>0.99958110805054967</v>
      </c>
    </row>
    <row r="737" spans="1:10" x14ac:dyDescent="0.3">
      <c r="A737" s="70">
        <f t="shared" si="82"/>
        <v>3.35</v>
      </c>
      <c r="B737" s="60">
        <v>0</v>
      </c>
      <c r="C737" s="70">
        <v>3.35</v>
      </c>
      <c r="D737" s="70">
        <v>1</v>
      </c>
      <c r="E737" s="71">
        <f t="shared" si="83"/>
        <v>-5.6112500000000001</v>
      </c>
      <c r="F737" s="72">
        <f t="shared" si="84"/>
        <v>1.4587308046667459E-3</v>
      </c>
      <c r="G737" s="70">
        <f t="shared" si="80"/>
        <v>9.9999999999997868E-3</v>
      </c>
      <c r="H737" s="60">
        <f t="shared" si="79"/>
        <v>1.4587308046667148E-5</v>
      </c>
      <c r="I737" s="60">
        <f t="shared" si="85"/>
        <v>0.99957218857819996</v>
      </c>
      <c r="J737" s="60">
        <f t="shared" si="81"/>
        <v>0.99959594219813597</v>
      </c>
    </row>
    <row r="738" spans="1:10" x14ac:dyDescent="0.3">
      <c r="A738" s="70">
        <f t="shared" si="82"/>
        <v>3.36</v>
      </c>
      <c r="B738" s="60">
        <v>0</v>
      </c>
      <c r="C738" s="70">
        <v>3.36</v>
      </c>
      <c r="D738" s="70">
        <v>1</v>
      </c>
      <c r="E738" s="71">
        <f t="shared" si="83"/>
        <v>-5.6447999999999992</v>
      </c>
      <c r="F738" s="72">
        <f t="shared" si="84"/>
        <v>1.4106022569413848E-3</v>
      </c>
      <c r="G738" s="70">
        <f t="shared" si="80"/>
        <v>1.0000000000000231E-2</v>
      </c>
      <c r="H738" s="60">
        <f t="shared" si="79"/>
        <v>1.4106022569414174E-5</v>
      </c>
      <c r="I738" s="60">
        <f t="shared" si="85"/>
        <v>0.99958629460076942</v>
      </c>
      <c r="J738" s="60">
        <f t="shared" si="81"/>
        <v>0.99961028763741799</v>
      </c>
    </row>
    <row r="739" spans="1:10" x14ac:dyDescent="0.3">
      <c r="A739" s="70">
        <f t="shared" si="82"/>
        <v>3.37</v>
      </c>
      <c r="B739" s="60">
        <v>0</v>
      </c>
      <c r="C739" s="70">
        <v>3.37</v>
      </c>
      <c r="D739" s="70">
        <v>1</v>
      </c>
      <c r="E739" s="71">
        <f t="shared" si="83"/>
        <v>-5.6784500000000007</v>
      </c>
      <c r="F739" s="72">
        <f t="shared" si="84"/>
        <v>1.3639252362389036E-3</v>
      </c>
      <c r="G739" s="70">
        <f t="shared" si="80"/>
        <v>9.9999999999997868E-3</v>
      </c>
      <c r="H739" s="60">
        <f t="shared" si="79"/>
        <v>1.3639252362388746E-5</v>
      </c>
      <c r="I739" s="60">
        <f t="shared" si="85"/>
        <v>0.99959993385313184</v>
      </c>
      <c r="J739" s="60">
        <f t="shared" si="81"/>
        <v>0.99962415908159996</v>
      </c>
    </row>
    <row r="740" spans="1:10" x14ac:dyDescent="0.3">
      <c r="A740" s="70">
        <f t="shared" si="82"/>
        <v>3.38</v>
      </c>
      <c r="B740" s="60">
        <v>0</v>
      </c>
      <c r="C740" s="70">
        <v>3.38</v>
      </c>
      <c r="D740" s="70">
        <v>1</v>
      </c>
      <c r="E740" s="71">
        <f t="shared" si="83"/>
        <v>-5.7121999999999993</v>
      </c>
      <c r="F740" s="72">
        <f t="shared" si="84"/>
        <v>1.3186608918227423E-3</v>
      </c>
      <c r="G740" s="70">
        <f t="shared" si="80"/>
        <v>1.0000000000000231E-2</v>
      </c>
      <c r="H740" s="60">
        <f t="shared" si="79"/>
        <v>1.3186608918227727E-5</v>
      </c>
      <c r="I740" s="60">
        <f t="shared" si="85"/>
        <v>0.99961312046205009</v>
      </c>
      <c r="J740" s="60">
        <f t="shared" si="81"/>
        <v>0.99963757085096694</v>
      </c>
    </row>
    <row r="741" spans="1:10" x14ac:dyDescent="0.3">
      <c r="A741" s="70">
        <f t="shared" si="82"/>
        <v>3.39</v>
      </c>
      <c r="B741" s="60">
        <v>0</v>
      </c>
      <c r="C741" s="70">
        <v>3.39</v>
      </c>
      <c r="D741" s="70">
        <v>1</v>
      </c>
      <c r="E741" s="71">
        <f t="shared" si="83"/>
        <v>-5.7460500000000003</v>
      </c>
      <c r="F741" s="72">
        <f t="shared" si="84"/>
        <v>1.2747712436618327E-3</v>
      </c>
      <c r="G741" s="70">
        <f t="shared" si="80"/>
        <v>9.9999999999997868E-3</v>
      </c>
      <c r="H741" s="60">
        <f t="shared" si="79"/>
        <v>1.2747712436618055E-5</v>
      </c>
      <c r="I741" s="60">
        <f t="shared" si="85"/>
        <v>0.99962586817448673</v>
      </c>
      <c r="J741" s="60">
        <f t="shared" si="81"/>
        <v>0.99965053688166206</v>
      </c>
    </row>
    <row r="742" spans="1:10" x14ac:dyDescent="0.3">
      <c r="A742" s="70">
        <f t="shared" si="82"/>
        <v>3.4</v>
      </c>
      <c r="B742" s="60">
        <v>0</v>
      </c>
      <c r="C742" s="70">
        <v>3.4</v>
      </c>
      <c r="D742" s="70">
        <v>1</v>
      </c>
      <c r="E742" s="71">
        <f t="shared" si="83"/>
        <v>-5.7799999999999994</v>
      </c>
      <c r="F742" s="72">
        <f t="shared" si="84"/>
        <v>1.2322191684730199E-3</v>
      </c>
      <c r="G742" s="70">
        <f t="shared" si="80"/>
        <v>1.0000000000000231E-2</v>
      </c>
      <c r="H742" s="60">
        <f t="shared" si="79"/>
        <v>1.2322191684730483E-5</v>
      </c>
      <c r="I742" s="60">
        <f t="shared" si="85"/>
        <v>0.99963819036617141</v>
      </c>
      <c r="J742" s="60">
        <f t="shared" si="81"/>
        <v>0.99966307073432314</v>
      </c>
    </row>
    <row r="743" spans="1:10" x14ac:dyDescent="0.3">
      <c r="A743" s="70">
        <f t="shared" si="82"/>
        <v>3.41</v>
      </c>
      <c r="B743" s="60">
        <v>0</v>
      </c>
      <c r="C743" s="70">
        <v>3.41</v>
      </c>
      <c r="D743" s="70">
        <v>1</v>
      </c>
      <c r="E743" s="71">
        <f t="shared" si="83"/>
        <v>-5.8140500000000008</v>
      </c>
      <c r="F743" s="72">
        <f t="shared" si="84"/>
        <v>1.1909683858061166E-3</v>
      </c>
      <c r="G743" s="70">
        <f t="shared" si="80"/>
        <v>9.9999999999997868E-3</v>
      </c>
      <c r="H743" s="60">
        <f t="shared" si="79"/>
        <v>1.1909683858060912E-5</v>
      </c>
      <c r="I743" s="60">
        <f t="shared" si="85"/>
        <v>0.99965010005002952</v>
      </c>
      <c r="J743" s="60">
        <f t="shared" si="81"/>
        <v>0.99967518560258117</v>
      </c>
    </row>
    <row r="744" spans="1:10" x14ac:dyDescent="0.3">
      <c r="A744" s="70">
        <f t="shared" si="82"/>
        <v>3.42</v>
      </c>
      <c r="B744" s="60">
        <v>0</v>
      </c>
      <c r="C744" s="70">
        <v>3.42</v>
      </c>
      <c r="D744" s="70">
        <v>1</v>
      </c>
      <c r="E744" s="71">
        <f t="shared" si="83"/>
        <v>-5.8481999999999994</v>
      </c>
      <c r="F744" s="72">
        <f t="shared" si="84"/>
        <v>1.1509834441784845E-3</v>
      </c>
      <c r="G744" s="70">
        <f t="shared" si="80"/>
        <v>1.0000000000000231E-2</v>
      </c>
      <c r="H744" s="60">
        <f t="shared" si="79"/>
        <v>1.1509834441785112E-5</v>
      </c>
      <c r="I744" s="60">
        <f t="shared" si="85"/>
        <v>0.99966160988447128</v>
      </c>
      <c r="J744" s="60">
        <f t="shared" si="81"/>
        <v>0.99968689432141877</v>
      </c>
    </row>
    <row r="745" spans="1:10" x14ac:dyDescent="0.3">
      <c r="A745" s="70">
        <f t="shared" si="82"/>
        <v>3.43</v>
      </c>
      <c r="B745" s="60">
        <v>0</v>
      </c>
      <c r="C745" s="70">
        <v>3.43</v>
      </c>
      <c r="D745" s="70">
        <v>1</v>
      </c>
      <c r="E745" s="71">
        <f t="shared" si="83"/>
        <v>-5.8824500000000004</v>
      </c>
      <c r="F745" s="72">
        <f t="shared" si="84"/>
        <v>1.1122297072655649E-3</v>
      </c>
      <c r="G745" s="70">
        <f t="shared" si="80"/>
        <v>9.9999999999997868E-3</v>
      </c>
      <c r="H745" s="60">
        <f t="shared" si="79"/>
        <v>1.1122297072655412E-5</v>
      </c>
      <c r="I745" s="60">
        <f t="shared" si="85"/>
        <v>0.99967273218154395</v>
      </c>
      <c r="J745" s="60">
        <f t="shared" si="81"/>
        <v>0.99969820937539133</v>
      </c>
    </row>
    <row r="746" spans="1:10" x14ac:dyDescent="0.3">
      <c r="A746" s="70">
        <f t="shared" si="82"/>
        <v>3.44</v>
      </c>
      <c r="B746" s="60">
        <v>0</v>
      </c>
      <c r="C746" s="70">
        <v>3.44</v>
      </c>
      <c r="D746" s="70">
        <v>1</v>
      </c>
      <c r="E746" s="71">
        <f t="shared" si="83"/>
        <v>-5.9167999999999994</v>
      </c>
      <c r="F746" s="72">
        <f t="shared" si="84"/>
        <v>1.0746733401537356E-3</v>
      </c>
      <c r="G746" s="70">
        <f t="shared" si="80"/>
        <v>1.0000000000000231E-2</v>
      </c>
      <c r="H746" s="60">
        <f t="shared" si="79"/>
        <v>1.0746733401537605E-5</v>
      </c>
      <c r="I746" s="60">
        <f t="shared" si="85"/>
        <v>0.99968347891494547</v>
      </c>
      <c r="J746" s="60">
        <f t="shared" si="81"/>
        <v>0.9997091429067092</v>
      </c>
    </row>
    <row r="747" spans="1:10" x14ac:dyDescent="0.3">
      <c r="A747" s="70">
        <f t="shared" si="82"/>
        <v>3.45</v>
      </c>
      <c r="B747" s="60">
        <v>0</v>
      </c>
      <c r="C747" s="70">
        <v>3.45</v>
      </c>
      <c r="D747" s="70">
        <v>1</v>
      </c>
      <c r="E747" s="71">
        <f t="shared" si="83"/>
        <v>-5.9512500000000008</v>
      </c>
      <c r="F747" s="72">
        <f t="shared" si="84"/>
        <v>1.0382812956614103E-3</v>
      </c>
      <c r="G747" s="70">
        <f t="shared" si="80"/>
        <v>9.9999999999997868E-3</v>
      </c>
      <c r="H747" s="60">
        <f t="shared" si="79"/>
        <v>1.0382812956613882E-5</v>
      </c>
      <c r="I747" s="60">
        <f t="shared" si="85"/>
        <v>0.99969386172790209</v>
      </c>
      <c r="J747" s="60">
        <f t="shared" si="81"/>
        <v>0.99971970672318378</v>
      </c>
    </row>
    <row r="748" spans="1:10" x14ac:dyDescent="0.3">
      <c r="A748" s="70">
        <f t="shared" si="82"/>
        <v>3.46</v>
      </c>
      <c r="B748" s="60">
        <v>0</v>
      </c>
      <c r="C748" s="70">
        <v>3.46</v>
      </c>
      <c r="D748" s="70">
        <v>1</v>
      </c>
      <c r="E748" s="71">
        <f t="shared" si="83"/>
        <v>-5.9858000000000002</v>
      </c>
      <c r="F748" s="72">
        <f t="shared" si="84"/>
        <v>1.0030213007342376E-3</v>
      </c>
      <c r="G748" s="70">
        <f t="shared" si="80"/>
        <v>1.0000000000000231E-2</v>
      </c>
      <c r="H748" s="60">
        <f t="shared" si="79"/>
        <v>1.0030213007342608E-5</v>
      </c>
      <c r="I748" s="60">
        <f t="shared" si="85"/>
        <v>0.99970389194090947</v>
      </c>
      <c r="J748" s="60">
        <f t="shared" si="81"/>
        <v>0.99972991230603647</v>
      </c>
    </row>
    <row r="749" spans="1:10" x14ac:dyDescent="0.3">
      <c r="A749" s="70">
        <f t="shared" si="82"/>
        <v>3.47</v>
      </c>
      <c r="B749" s="60">
        <v>0</v>
      </c>
      <c r="C749" s="70">
        <v>3.47</v>
      </c>
      <c r="D749" s="70">
        <v>1</v>
      </c>
      <c r="E749" s="71">
        <f t="shared" si="83"/>
        <v>-6.0204500000000003</v>
      </c>
      <c r="F749" s="72">
        <f t="shared" si="84"/>
        <v>9.6886184291984591E-4</v>
      </c>
      <c r="G749" s="70">
        <f t="shared" si="80"/>
        <v>9.9999999999997868E-3</v>
      </c>
      <c r="H749" s="60">
        <f t="shared" si="79"/>
        <v>9.688618429198252E-6</v>
      </c>
      <c r="I749" s="60">
        <f t="shared" si="85"/>
        <v>0.99971358055933868</v>
      </c>
      <c r="J749" s="60">
        <f t="shared" si="81"/>
        <v>0.99973977081757248</v>
      </c>
    </row>
    <row r="750" spans="1:10" x14ac:dyDescent="0.3">
      <c r="A750" s="70">
        <f t="shared" si="82"/>
        <v>3.48</v>
      </c>
      <c r="B750" s="60">
        <v>0</v>
      </c>
      <c r="C750" s="70">
        <v>3.48</v>
      </c>
      <c r="D750" s="70">
        <v>1</v>
      </c>
      <c r="E750" s="71">
        <f t="shared" si="83"/>
        <v>-6.0552000000000001</v>
      </c>
      <c r="F750" s="72">
        <f t="shared" si="84"/>
        <v>9.3577215692747977E-4</v>
      </c>
      <c r="G750" s="70">
        <f t="shared" si="80"/>
        <v>1.0000000000000231E-2</v>
      </c>
      <c r="H750" s="60">
        <f t="shared" si="79"/>
        <v>9.3577215692750138E-6</v>
      </c>
      <c r="I750" s="60">
        <f t="shared" si="85"/>
        <v>0.99972293828090797</v>
      </c>
      <c r="J750" s="60">
        <f t="shared" si="81"/>
        <v>0.99974929310871952</v>
      </c>
    </row>
    <row r="751" spans="1:10" x14ac:dyDescent="0.3">
      <c r="A751" s="70">
        <f t="shared" si="82"/>
        <v>3.49</v>
      </c>
      <c r="B751" s="60">
        <v>0</v>
      </c>
      <c r="C751" s="70">
        <v>3.49</v>
      </c>
      <c r="D751" s="70">
        <v>1</v>
      </c>
      <c r="E751" s="71">
        <f t="shared" si="83"/>
        <v>-6.0900500000000006</v>
      </c>
      <c r="F751" s="72">
        <f t="shared" si="84"/>
        <v>9.0372221127752448E-4</v>
      </c>
      <c r="G751" s="70">
        <f t="shared" si="80"/>
        <v>9.9999999999997868E-3</v>
      </c>
      <c r="H751" s="60">
        <f t="shared" si="79"/>
        <v>9.0372221127750515E-6</v>
      </c>
      <c r="I751" s="60">
        <f t="shared" si="85"/>
        <v>0.99973197550302073</v>
      </c>
      <c r="J751" s="60">
        <f t="shared" si="81"/>
        <v>0.99975848972643211</v>
      </c>
    </row>
    <row r="752" spans="1:10" x14ac:dyDescent="0.3">
      <c r="A752" s="70">
        <f t="shared" si="82"/>
        <v>3.5</v>
      </c>
      <c r="B752" s="60">
        <v>0</v>
      </c>
      <c r="C752" s="70">
        <v>3.5</v>
      </c>
      <c r="D752" s="70">
        <v>1</v>
      </c>
      <c r="E752" s="71">
        <f t="shared" si="83"/>
        <v>-6.125</v>
      </c>
      <c r="F752" s="72">
        <f t="shared" si="84"/>
        <v>8.7268269504576015E-4</v>
      </c>
      <c r="G752" s="70">
        <f t="shared" si="80"/>
        <v>9.9999999999997868E-3</v>
      </c>
      <c r="H752" s="60">
        <f t="shared" si="79"/>
        <v>8.7268269504574153E-6</v>
      </c>
      <c r="I752" s="60">
        <f t="shared" si="85"/>
        <v>0.99974070232997114</v>
      </c>
      <c r="J752" s="60">
        <f t="shared" si="81"/>
        <v>0.99976737092096446</v>
      </c>
    </row>
    <row r="753" spans="1:10" x14ac:dyDescent="0.3">
      <c r="A753" s="70">
        <f t="shared" si="82"/>
        <v>3.51</v>
      </c>
      <c r="B753" s="60">
        <v>0</v>
      </c>
      <c r="C753" s="70">
        <v>3.51</v>
      </c>
      <c r="D753" s="70">
        <v>1</v>
      </c>
      <c r="E753" s="71">
        <f t="shared" si="83"/>
        <v>-6.1600499999999991</v>
      </c>
      <c r="F753" s="72">
        <f t="shared" si="84"/>
        <v>8.4262500470690268E-4</v>
      </c>
      <c r="G753" s="70">
        <f t="shared" si="80"/>
        <v>1.0000000000000231E-2</v>
      </c>
      <c r="H753" s="60">
        <f t="shared" si="79"/>
        <v>8.4262500470692219E-6</v>
      </c>
      <c r="I753" s="60">
        <f t="shared" si="85"/>
        <v>0.99974912858001819</v>
      </c>
      <c r="J753" s="60">
        <f t="shared" si="81"/>
        <v>0.99977594665300895</v>
      </c>
    </row>
    <row r="754" spans="1:10" x14ac:dyDescent="0.3">
      <c r="A754" s="70">
        <f t="shared" si="82"/>
        <v>3.52</v>
      </c>
      <c r="B754" s="60">
        <v>0</v>
      </c>
      <c r="C754" s="70">
        <v>3.52</v>
      </c>
      <c r="D754" s="70">
        <v>1</v>
      </c>
      <c r="E754" s="71">
        <f t="shared" si="83"/>
        <v>-6.1951999999999998</v>
      </c>
      <c r="F754" s="72">
        <f t="shared" si="84"/>
        <v>8.1352123108180841E-4</v>
      </c>
      <c r="G754" s="70">
        <f t="shared" si="80"/>
        <v>9.9999999999997868E-3</v>
      </c>
      <c r="H754" s="60">
        <f t="shared" si="79"/>
        <v>8.1352123108179107E-6</v>
      </c>
      <c r="I754" s="60">
        <f t="shared" si="85"/>
        <v>0.99975726379232899</v>
      </c>
      <c r="J754" s="60">
        <f t="shared" si="81"/>
        <v>0.99978422660070532</v>
      </c>
    </row>
    <row r="755" spans="1:10" x14ac:dyDescent="0.3">
      <c r="A755" s="70">
        <f t="shared" si="82"/>
        <v>3.53</v>
      </c>
      <c r="B755" s="60">
        <v>0</v>
      </c>
      <c r="C755" s="70">
        <v>3.53</v>
      </c>
      <c r="D755" s="70">
        <v>1</v>
      </c>
      <c r="E755" s="71">
        <f t="shared" si="83"/>
        <v>-6.2304499999999994</v>
      </c>
      <c r="F755" s="72">
        <f t="shared" si="84"/>
        <v>7.8534414639246997E-4</v>
      </c>
      <c r="G755" s="70">
        <f t="shared" si="80"/>
        <v>1.0000000000000231E-2</v>
      </c>
      <c r="H755" s="60">
        <f t="shared" si="79"/>
        <v>7.8534414639248806E-6</v>
      </c>
      <c r="I755" s="60">
        <f t="shared" si="85"/>
        <v>0.99976511723379291</v>
      </c>
      <c r="J755" s="60">
        <f t="shared" si="81"/>
        <v>0.99979222016651936</v>
      </c>
    </row>
    <row r="756" spans="1:10" x14ac:dyDescent="0.3">
      <c r="A756" s="70">
        <f t="shared" si="82"/>
        <v>3.54</v>
      </c>
      <c r="B756" s="60">
        <v>0</v>
      </c>
      <c r="C756" s="70">
        <v>3.54</v>
      </c>
      <c r="D756" s="70">
        <v>1</v>
      </c>
      <c r="E756" s="71">
        <f t="shared" si="83"/>
        <v>-6.2658000000000005</v>
      </c>
      <c r="F756" s="72">
        <f t="shared" si="84"/>
        <v>7.580671914287103E-4</v>
      </c>
      <c r="G756" s="70">
        <f t="shared" si="80"/>
        <v>9.9999999999997868E-3</v>
      </c>
      <c r="H756" s="60">
        <f t="shared" si="79"/>
        <v>7.5806719142869414E-6</v>
      </c>
      <c r="I756" s="60">
        <f t="shared" si="85"/>
        <v>0.99977269790570722</v>
      </c>
      <c r="J756" s="60">
        <f t="shared" si="81"/>
        <v>0.99979993648399268</v>
      </c>
    </row>
    <row r="757" spans="1:10" x14ac:dyDescent="0.3">
      <c r="A757" s="70">
        <f t="shared" si="82"/>
        <v>3.55</v>
      </c>
      <c r="B757" s="60">
        <v>0</v>
      </c>
      <c r="C757" s="70">
        <v>3.55</v>
      </c>
      <c r="D757" s="70">
        <v>1</v>
      </c>
      <c r="E757" s="71">
        <f t="shared" si="83"/>
        <v>-6.3012499999999996</v>
      </c>
      <c r="F757" s="72">
        <f t="shared" si="84"/>
        <v>7.3166446283031089E-4</v>
      </c>
      <c r="G757" s="70">
        <f t="shared" si="80"/>
        <v>1.0000000000000231E-2</v>
      </c>
      <c r="H757" s="60">
        <f t="shared" si="79"/>
        <v>7.3166446283032777E-6</v>
      </c>
      <c r="I757" s="60">
        <f t="shared" si="85"/>
        <v>0.99978001455033549</v>
      </c>
      <c r="J757" s="60">
        <f t="shared" si="81"/>
        <v>0.99980738442436434</v>
      </c>
    </row>
    <row r="758" spans="1:10" x14ac:dyDescent="0.3">
      <c r="A758" s="70">
        <f t="shared" si="82"/>
        <v>3.56</v>
      </c>
      <c r="B758" s="60">
        <v>0</v>
      </c>
      <c r="C758" s="70">
        <v>3.56</v>
      </c>
      <c r="D758" s="70">
        <v>1</v>
      </c>
      <c r="E758" s="71">
        <f t="shared" si="83"/>
        <v>-6.3368000000000002</v>
      </c>
      <c r="F758" s="72">
        <f t="shared" si="84"/>
        <v>7.061107004880362E-4</v>
      </c>
      <c r="G758" s="70">
        <f t="shared" si="80"/>
        <v>9.9999999999997868E-3</v>
      </c>
      <c r="H758" s="60">
        <f t="shared" si="79"/>
        <v>7.0611070048802117E-6</v>
      </c>
      <c r="I758" s="60">
        <f t="shared" si="85"/>
        <v>0.99978707565734037</v>
      </c>
      <c r="J758" s="60">
        <f t="shared" si="81"/>
        <v>0.99981457260306672</v>
      </c>
    </row>
    <row r="759" spans="1:10" x14ac:dyDescent="0.3">
      <c r="A759" s="70">
        <f t="shared" si="82"/>
        <v>3.57</v>
      </c>
      <c r="B759" s="60">
        <v>0</v>
      </c>
      <c r="C759" s="70">
        <v>3.57</v>
      </c>
      <c r="D759" s="70">
        <v>1</v>
      </c>
      <c r="E759" s="71">
        <f t="shared" si="83"/>
        <v>-6.3724499999999997</v>
      </c>
      <c r="F759" s="72">
        <f t="shared" si="84"/>
        <v>6.8138127506689212E-4</v>
      </c>
      <c r="G759" s="70">
        <f t="shared" si="80"/>
        <v>1.0000000000000231E-2</v>
      </c>
      <c r="H759" s="60">
        <f t="shared" si="79"/>
        <v>6.8138127506690787E-6</v>
      </c>
      <c r="I759" s="60">
        <f t="shared" si="85"/>
        <v>0.99979388947009107</v>
      </c>
      <c r="J759" s="60">
        <f t="shared" si="81"/>
        <v>0.99982150938609515</v>
      </c>
    </row>
    <row r="760" spans="1:10" x14ac:dyDescent="0.3">
      <c r="A760" s="70">
        <f t="shared" si="82"/>
        <v>3.58</v>
      </c>
      <c r="B760" s="60">
        <v>0</v>
      </c>
      <c r="C760" s="70">
        <v>3.58</v>
      </c>
      <c r="D760" s="70">
        <v>1</v>
      </c>
      <c r="E760" s="71">
        <f t="shared" si="83"/>
        <v>-6.4081999999999999</v>
      </c>
      <c r="F760" s="72">
        <f t="shared" si="84"/>
        <v>6.5745217565467645E-4</v>
      </c>
      <c r="G760" s="70">
        <f t="shared" si="80"/>
        <v>9.9999999999997868E-3</v>
      </c>
      <c r="H760" s="60">
        <f t="shared" si="79"/>
        <v>6.5745217565466243E-6</v>
      </c>
      <c r="I760" s="60">
        <f t="shared" si="85"/>
        <v>0.99980046399184763</v>
      </c>
      <c r="J760" s="60">
        <f t="shared" si="81"/>
        <v>0.99982820289625407</v>
      </c>
    </row>
    <row r="761" spans="1:10" x14ac:dyDescent="0.3">
      <c r="A761" s="70">
        <f t="shared" si="82"/>
        <v>3.59</v>
      </c>
      <c r="B761" s="60">
        <v>0</v>
      </c>
      <c r="C761" s="70">
        <v>3.59</v>
      </c>
      <c r="D761" s="70">
        <v>1</v>
      </c>
      <c r="E761" s="71">
        <f t="shared" si="83"/>
        <v>-6.4440499999999998</v>
      </c>
      <c r="F761" s="72">
        <f t="shared" si="84"/>
        <v>6.342999975387576E-4</v>
      </c>
      <c r="G761" s="70">
        <f t="shared" si="80"/>
        <v>1.0000000000000231E-2</v>
      </c>
      <c r="H761" s="60">
        <f t="shared" si="79"/>
        <v>6.3429999753877222E-6</v>
      </c>
      <c r="I761" s="60">
        <f t="shared" si="85"/>
        <v>0.999806806991823</v>
      </c>
      <c r="J761" s="60">
        <f t="shared" si="81"/>
        <v>0.99983466101927987</v>
      </c>
    </row>
    <row r="762" spans="1:10" x14ac:dyDescent="0.3">
      <c r="A762" s="70">
        <f t="shared" si="82"/>
        <v>3.6</v>
      </c>
      <c r="B762" s="60">
        <v>0</v>
      </c>
      <c r="C762" s="70">
        <v>3.6</v>
      </c>
      <c r="D762" s="70">
        <v>1</v>
      </c>
      <c r="E762" s="71">
        <f t="shared" si="83"/>
        <v>-6.48</v>
      </c>
      <c r="F762" s="72">
        <f t="shared" si="84"/>
        <v>6.119019301137719E-4</v>
      </c>
      <c r="G762" s="70">
        <f t="shared" si="80"/>
        <v>9.9999999999997868E-3</v>
      </c>
      <c r="H762" s="60">
        <f t="shared" si="79"/>
        <v>6.1190193011375884E-6</v>
      </c>
      <c r="I762" s="60">
        <f t="shared" si="85"/>
        <v>0.99981292601112415</v>
      </c>
      <c r="J762" s="60">
        <f t="shared" si="81"/>
        <v>0.99984089140984245</v>
      </c>
    </row>
    <row r="763" spans="1:10" x14ac:dyDescent="0.3">
      <c r="A763" s="70">
        <f t="shared" si="82"/>
        <v>3.61</v>
      </c>
      <c r="B763" s="60">
        <v>0</v>
      </c>
      <c r="C763" s="70">
        <v>3.61</v>
      </c>
      <c r="D763" s="70">
        <v>1</v>
      </c>
      <c r="E763" s="71">
        <f t="shared" si="83"/>
        <v>-6.5160499999999999</v>
      </c>
      <c r="F763" s="72">
        <f t="shared" si="84"/>
        <v>5.9023574492278561E-4</v>
      </c>
      <c r="G763" s="70">
        <f t="shared" si="80"/>
        <v>1.0000000000000231E-2</v>
      </c>
      <c r="H763" s="60">
        <f t="shared" si="79"/>
        <v>5.9023574492279922E-6</v>
      </c>
      <c r="I763" s="60">
        <f t="shared" si="85"/>
        <v>0.99981882836857339</v>
      </c>
      <c r="J763" s="60">
        <f t="shared" si="81"/>
        <v>0.99984690149742628</v>
      </c>
    </row>
    <row r="764" spans="1:10" x14ac:dyDescent="0.3">
      <c r="A764" s="70">
        <f t="shared" si="82"/>
        <v>3.62</v>
      </c>
      <c r="B764" s="60">
        <v>0</v>
      </c>
      <c r="C764" s="70">
        <v>3.62</v>
      </c>
      <c r="D764" s="70">
        <v>1</v>
      </c>
      <c r="E764" s="71">
        <f t="shared" si="83"/>
        <v>-6.5522</v>
      </c>
      <c r="F764" s="72">
        <f t="shared" si="84"/>
        <v>5.6927978383425261E-4</v>
      </c>
      <c r="G764" s="70">
        <f t="shared" si="80"/>
        <v>9.9999999999997868E-3</v>
      </c>
      <c r="H764" s="60">
        <f t="shared" si="79"/>
        <v>5.6927978383424045E-6</v>
      </c>
      <c r="I764" s="60">
        <f t="shared" si="85"/>
        <v>0.99982452116641174</v>
      </c>
      <c r="J764" s="60">
        <f t="shared" si="81"/>
        <v>0.99985269849209257</v>
      </c>
    </row>
    <row r="765" spans="1:10" x14ac:dyDescent="0.3">
      <c r="A765" s="70">
        <f t="shared" si="82"/>
        <v>3.63</v>
      </c>
      <c r="B765" s="60">
        <v>0</v>
      </c>
      <c r="C765" s="70">
        <v>3.63</v>
      </c>
      <c r="D765" s="70">
        <v>1</v>
      </c>
      <c r="E765" s="71">
        <f t="shared" si="83"/>
        <v>-6.5884499999999999</v>
      </c>
      <c r="F765" s="72">
        <f t="shared" si="84"/>
        <v>5.490129473569587E-4</v>
      </c>
      <c r="G765" s="70">
        <f t="shared" si="80"/>
        <v>1.0000000000000231E-2</v>
      </c>
      <c r="H765" s="60">
        <f t="shared" si="79"/>
        <v>5.4901294735697142E-6</v>
      </c>
      <c r="I765" s="60">
        <f t="shared" si="85"/>
        <v>0.99983001129588533</v>
      </c>
      <c r="J765" s="60">
        <f t="shared" si="81"/>
        <v>0.99985828939012422</v>
      </c>
    </row>
    <row r="766" spans="1:10" x14ac:dyDescent="0.3">
      <c r="A766" s="70">
        <f t="shared" si="82"/>
        <v>3.64</v>
      </c>
      <c r="B766" s="60">
        <v>0</v>
      </c>
      <c r="C766" s="70">
        <v>3.64</v>
      </c>
      <c r="D766" s="70">
        <v>1</v>
      </c>
      <c r="E766" s="71">
        <f t="shared" si="83"/>
        <v>-6.6248000000000005</v>
      </c>
      <c r="F766" s="72">
        <f t="shared" si="84"/>
        <v>5.2941468309493475E-4</v>
      </c>
      <c r="G766" s="70">
        <f t="shared" si="80"/>
        <v>9.9999999999997868E-3</v>
      </c>
      <c r="H766" s="60">
        <f t="shared" si="79"/>
        <v>5.2941468309492348E-6</v>
      </c>
      <c r="I766" s="60">
        <f t="shared" si="85"/>
        <v>0.99983530544271626</v>
      </c>
      <c r="J766" s="60">
        <f t="shared" si="81"/>
        <v>0.99986368097955425</v>
      </c>
    </row>
    <row r="767" spans="1:10" x14ac:dyDescent="0.3">
      <c r="A767" s="70">
        <f t="shared" si="82"/>
        <v>3.65</v>
      </c>
      <c r="B767" s="60">
        <v>0</v>
      </c>
      <c r="C767" s="70">
        <v>3.65</v>
      </c>
      <c r="D767" s="70">
        <v>1</v>
      </c>
      <c r="E767" s="71">
        <f t="shared" si="83"/>
        <v>-6.6612499999999999</v>
      </c>
      <c r="F767" s="72">
        <f t="shared" si="84"/>
        <v>5.104649743441856E-4</v>
      </c>
      <c r="G767" s="70">
        <f t="shared" si="80"/>
        <v>1.0000000000000231E-2</v>
      </c>
      <c r="H767" s="60">
        <f t="shared" si="79"/>
        <v>5.1046497434419741E-6</v>
      </c>
      <c r="I767" s="60">
        <f t="shared" si="85"/>
        <v>0.99984041009245972</v>
      </c>
      <c r="J767" s="60">
        <f t="shared" si="81"/>
        <v>0.99986887984557948</v>
      </c>
    </row>
    <row r="768" spans="1:10" x14ac:dyDescent="0.3">
      <c r="A768" s="70">
        <f t="shared" si="82"/>
        <v>3.66</v>
      </c>
      <c r="B768" s="60">
        <v>0</v>
      </c>
      <c r="C768" s="70">
        <v>3.66</v>
      </c>
      <c r="D768" s="70">
        <v>1</v>
      </c>
      <c r="E768" s="71">
        <f t="shared" si="83"/>
        <v>-6.6978000000000009</v>
      </c>
      <c r="F768" s="72">
        <f t="shared" si="84"/>
        <v>4.9214432883289312E-4</v>
      </c>
      <c r="G768" s="70">
        <f t="shared" si="80"/>
        <v>9.9999999999997868E-3</v>
      </c>
      <c r="H768" s="60">
        <f t="shared" ref="H768:H802" si="86">F768*G768</f>
        <v>4.9214432883288261E-6</v>
      </c>
      <c r="I768" s="60">
        <f t="shared" si="85"/>
        <v>0.99984533153574806</v>
      </c>
      <c r="J768" s="60">
        <f t="shared" si="81"/>
        <v>0.99987389237586155</v>
      </c>
    </row>
    <row r="769" spans="1:10" x14ac:dyDescent="0.3">
      <c r="A769" s="70">
        <f t="shared" si="82"/>
        <v>3.67</v>
      </c>
      <c r="B769" s="60">
        <v>0</v>
      </c>
      <c r="C769" s="70">
        <v>3.67</v>
      </c>
      <c r="D769" s="70">
        <v>1</v>
      </c>
      <c r="E769" s="71">
        <f t="shared" si="83"/>
        <v>-6.7344499999999998</v>
      </c>
      <c r="F769" s="72">
        <f t="shared" si="84"/>
        <v>4.7443376760662064E-4</v>
      </c>
      <c r="G769" s="70">
        <f t="shared" si="80"/>
        <v>1.0000000000000231E-2</v>
      </c>
      <c r="H769" s="60">
        <f t="shared" si="86"/>
        <v>4.7443376760663162E-6</v>
      </c>
      <c r="I769" s="60">
        <f t="shared" si="85"/>
        <v>0.99985007587342412</v>
      </c>
      <c r="J769" s="60">
        <f t="shared" si="81"/>
        <v>0.9998787247657146</v>
      </c>
    </row>
    <row r="770" spans="1:10" x14ac:dyDescent="0.3">
      <c r="A770" s="70">
        <f t="shared" si="82"/>
        <v>3.68</v>
      </c>
      <c r="B770" s="60">
        <v>0</v>
      </c>
      <c r="C770" s="70">
        <v>3.68</v>
      </c>
      <c r="D770" s="70">
        <v>1</v>
      </c>
      <c r="E770" s="71">
        <f t="shared" si="83"/>
        <v>-6.7712000000000003</v>
      </c>
      <c r="F770" s="72">
        <f t="shared" si="84"/>
        <v>4.5731481405985675E-4</v>
      </c>
      <c r="G770" s="70">
        <f t="shared" ref="G770:G802" si="87">C771-C770</f>
        <v>9.9999999999997868E-3</v>
      </c>
      <c r="H770" s="60">
        <f t="shared" si="86"/>
        <v>4.5731481405984703E-6</v>
      </c>
      <c r="I770" s="60">
        <f t="shared" si="85"/>
        <v>0.99985464902156473</v>
      </c>
      <c r="J770" s="60">
        <f t="shared" ref="J770:J802" si="88">NORMSDIST(C770)</f>
        <v>0.99988338302318458</v>
      </c>
    </row>
    <row r="771" spans="1:10" x14ac:dyDescent="0.3">
      <c r="A771" s="70">
        <f t="shared" ref="A771:A802" si="89">B771+C771</f>
        <v>3.69</v>
      </c>
      <c r="B771" s="60">
        <v>0</v>
      </c>
      <c r="C771" s="70">
        <v>3.69</v>
      </c>
      <c r="D771" s="70">
        <v>1</v>
      </c>
      <c r="E771" s="71">
        <f t="shared" ref="E771:E802" si="90">-(A771-B771)*(A771-B771)/2</f>
        <v>-6.8080499999999997</v>
      </c>
      <c r="F771" s="72">
        <f t="shared" ref="F771:F802" si="91">(1/SQRT(2*PI()))*(EXP(E771))</f>
        <v>4.4076948311513252E-4</v>
      </c>
      <c r="G771" s="70">
        <f t="shared" si="87"/>
        <v>1.0000000000000231E-2</v>
      </c>
      <c r="H771" s="60">
        <f t="shared" si="86"/>
        <v>4.4076948311514272E-6</v>
      </c>
      <c r="I771" s="60">
        <f t="shared" si="85"/>
        <v>0.99985905671639586</v>
      </c>
      <c r="J771" s="60">
        <f t="shared" si="88"/>
        <v>0.99988787297401771</v>
      </c>
    </row>
    <row r="772" spans="1:10" x14ac:dyDescent="0.3">
      <c r="A772" s="70">
        <f t="shared" si="89"/>
        <v>3.7</v>
      </c>
      <c r="B772" s="60">
        <v>0</v>
      </c>
      <c r="C772" s="70">
        <v>3.7</v>
      </c>
      <c r="D772" s="70">
        <v>1</v>
      </c>
      <c r="E772" s="71">
        <f t="shared" si="90"/>
        <v>-6.8450000000000006</v>
      </c>
      <c r="F772" s="72">
        <f t="shared" si="91"/>
        <v>4.2478027055075143E-4</v>
      </c>
      <c r="G772" s="70">
        <f t="shared" si="87"/>
        <v>9.9999999999997868E-3</v>
      </c>
      <c r="H772" s="60">
        <f t="shared" si="86"/>
        <v>4.2478027055074237E-6</v>
      </c>
      <c r="I772" s="60">
        <f t="shared" si="85"/>
        <v>0.99986330451910133</v>
      </c>
      <c r="J772" s="60">
        <f t="shared" si="88"/>
        <v>0.99989220026652259</v>
      </c>
    </row>
    <row r="773" spans="1:10" x14ac:dyDescent="0.3">
      <c r="A773" s="70">
        <f t="shared" si="89"/>
        <v>3.71</v>
      </c>
      <c r="B773" s="60">
        <v>0</v>
      </c>
      <c r="C773" s="70">
        <v>3.71</v>
      </c>
      <c r="D773" s="70">
        <v>1</v>
      </c>
      <c r="E773" s="71">
        <f t="shared" si="90"/>
        <v>-6.8820499999999996</v>
      </c>
      <c r="F773" s="72">
        <f t="shared" si="91"/>
        <v>4.0933014247807883E-4</v>
      </c>
      <c r="G773" s="70">
        <f t="shared" si="87"/>
        <v>1.0000000000000231E-2</v>
      </c>
      <c r="H773" s="60">
        <f t="shared" si="86"/>
        <v>4.0933014247808826E-6</v>
      </c>
      <c r="I773" s="60">
        <f t="shared" si="85"/>
        <v>0.99986739782052614</v>
      </c>
      <c r="J773" s="60">
        <f t="shared" si="88"/>
        <v>0.99989637037632595</v>
      </c>
    </row>
    <row r="774" spans="1:10" x14ac:dyDescent="0.3">
      <c r="A774" s="70">
        <f t="shared" si="89"/>
        <v>3.72</v>
      </c>
      <c r="B774" s="60">
        <v>0</v>
      </c>
      <c r="C774" s="70">
        <v>3.72</v>
      </c>
      <c r="D774" s="70">
        <v>1</v>
      </c>
      <c r="E774" s="71">
        <f t="shared" si="90"/>
        <v>-6.9192000000000009</v>
      </c>
      <c r="F774" s="72">
        <f t="shared" si="91"/>
        <v>3.9440252496915622E-4</v>
      </c>
      <c r="G774" s="70">
        <f t="shared" si="87"/>
        <v>9.9999999999997868E-3</v>
      </c>
      <c r="H774" s="60">
        <f t="shared" si="86"/>
        <v>3.9440252496914782E-6</v>
      </c>
      <c r="I774" s="60">
        <f t="shared" si="85"/>
        <v>0.99987134184577586</v>
      </c>
      <c r="J774" s="60">
        <f t="shared" si="88"/>
        <v>0.99990038861102404</v>
      </c>
    </row>
    <row r="775" spans="1:10" x14ac:dyDescent="0.3">
      <c r="A775" s="70">
        <f t="shared" si="89"/>
        <v>3.73</v>
      </c>
      <c r="B775" s="60">
        <v>0</v>
      </c>
      <c r="C775" s="70">
        <v>3.73</v>
      </c>
      <c r="D775" s="70">
        <v>1</v>
      </c>
      <c r="E775" s="71">
        <f t="shared" si="90"/>
        <v>-6.9564500000000002</v>
      </c>
      <c r="F775" s="72">
        <f t="shared" si="91"/>
        <v>3.7998129383532141E-4</v>
      </c>
      <c r="G775" s="70">
        <f t="shared" si="87"/>
        <v>1.0000000000000231E-2</v>
      </c>
      <c r="H775" s="60">
        <f t="shared" si="86"/>
        <v>3.7998129383533018E-6</v>
      </c>
      <c r="I775" s="60">
        <f t="shared" si="85"/>
        <v>0.99987514165871416</v>
      </c>
      <c r="J775" s="60">
        <f t="shared" si="88"/>
        <v>0.9999042601147311</v>
      </c>
    </row>
    <row r="776" spans="1:10" x14ac:dyDescent="0.3">
      <c r="A776" s="70">
        <f t="shared" si="89"/>
        <v>3.74</v>
      </c>
      <c r="B776" s="60">
        <v>0</v>
      </c>
      <c r="C776" s="70">
        <v>3.74</v>
      </c>
      <c r="D776" s="70">
        <v>1</v>
      </c>
      <c r="E776" s="71">
        <f t="shared" si="90"/>
        <v>-6.9938000000000011</v>
      </c>
      <c r="F776" s="72">
        <f t="shared" si="91"/>
        <v>3.6605076455733496E-4</v>
      </c>
      <c r="G776" s="70">
        <f t="shared" si="87"/>
        <v>9.9999999999997868E-3</v>
      </c>
      <c r="H776" s="60">
        <f t="shared" si="86"/>
        <v>3.6605076455732715E-6</v>
      </c>
      <c r="I776" s="60">
        <f t="shared" si="85"/>
        <v>0.99987880216635971</v>
      </c>
      <c r="J776" s="60">
        <f t="shared" si="88"/>
        <v>0.99990798987252594</v>
      </c>
    </row>
    <row r="777" spans="1:10" x14ac:dyDescent="0.3">
      <c r="A777" s="70">
        <f t="shared" si="89"/>
        <v>3.75</v>
      </c>
      <c r="B777" s="60">
        <v>0</v>
      </c>
      <c r="C777" s="70">
        <v>3.75</v>
      </c>
      <c r="D777" s="70">
        <v>1</v>
      </c>
      <c r="E777" s="71">
        <f t="shared" si="90"/>
        <v>-7.03125</v>
      </c>
      <c r="F777" s="72">
        <f t="shared" si="91"/>
        <v>3.5259568236744541E-4</v>
      </c>
      <c r="G777" s="70">
        <f t="shared" si="87"/>
        <v>9.9999999999997868E-3</v>
      </c>
      <c r="H777" s="60">
        <f t="shared" si="86"/>
        <v>3.5259568236743788E-6</v>
      </c>
      <c r="I777" s="60">
        <f t="shared" si="85"/>
        <v>0.99988232812318334</v>
      </c>
      <c r="J777" s="60">
        <f t="shared" si="88"/>
        <v>0.99991158271479919</v>
      </c>
    </row>
    <row r="778" spans="1:10" x14ac:dyDescent="0.3">
      <c r="A778" s="70">
        <f t="shared" si="89"/>
        <v>3.76</v>
      </c>
      <c r="B778" s="60">
        <v>0</v>
      </c>
      <c r="C778" s="70">
        <v>3.76</v>
      </c>
      <c r="D778" s="70">
        <v>1</v>
      </c>
      <c r="E778" s="71">
        <f t="shared" si="90"/>
        <v>-7.0687999999999995</v>
      </c>
      <c r="F778" s="72">
        <f t="shared" si="91"/>
        <v>3.3960121248365478E-4</v>
      </c>
      <c r="G778" s="70">
        <f t="shared" si="87"/>
        <v>1.0000000000000231E-2</v>
      </c>
      <c r="H778" s="60">
        <f t="shared" si="86"/>
        <v>3.3960121248366264E-6</v>
      </c>
      <c r="I778" s="60">
        <f t="shared" si="85"/>
        <v>0.99988572413530818</v>
      </c>
      <c r="J778" s="60">
        <f t="shared" si="88"/>
        <v>0.99991504332150205</v>
      </c>
    </row>
    <row r="779" spans="1:10" x14ac:dyDescent="0.3">
      <c r="A779" s="70">
        <f t="shared" si="89"/>
        <v>3.77</v>
      </c>
      <c r="B779" s="60">
        <v>0</v>
      </c>
      <c r="C779" s="70">
        <v>3.77</v>
      </c>
      <c r="D779" s="70">
        <v>1</v>
      </c>
      <c r="E779" s="71">
        <f t="shared" si="90"/>
        <v>-7.1064499999999997</v>
      </c>
      <c r="F779" s="72">
        <f t="shared" si="91"/>
        <v>3.2705293049637498E-4</v>
      </c>
      <c r="G779" s="70">
        <f t="shared" si="87"/>
        <v>9.9999999999997868E-3</v>
      </c>
      <c r="H779" s="60">
        <f t="shared" si="86"/>
        <v>3.2705293049636803E-6</v>
      </c>
      <c r="I779" s="60">
        <f t="shared" si="85"/>
        <v>0.99988899466461312</v>
      </c>
      <c r="J779" s="60">
        <f t="shared" si="88"/>
        <v>0.99991837622629731</v>
      </c>
    </row>
    <row r="780" spans="1:10" x14ac:dyDescent="0.3">
      <c r="A780" s="70">
        <f t="shared" si="89"/>
        <v>3.78</v>
      </c>
      <c r="B780" s="60">
        <v>0</v>
      </c>
      <c r="C780" s="70">
        <v>3.78</v>
      </c>
      <c r="D780" s="70">
        <v>1</v>
      </c>
      <c r="E780" s="71">
        <f t="shared" si="90"/>
        <v>-7.1441999999999997</v>
      </c>
      <c r="F780" s="72">
        <f t="shared" si="91"/>
        <v>3.1493681290752188E-4</v>
      </c>
      <c r="G780" s="70">
        <f t="shared" si="87"/>
        <v>1.0000000000000231E-2</v>
      </c>
      <c r="H780" s="60">
        <f t="shared" si="86"/>
        <v>3.1493681290752917E-6</v>
      </c>
      <c r="I780" s="60">
        <f t="shared" si="85"/>
        <v>0.99989214403274218</v>
      </c>
      <c r="J780" s="60">
        <f t="shared" si="88"/>
        <v>0.99992158582061641</v>
      </c>
    </row>
    <row r="781" spans="1:10" x14ac:dyDescent="0.3">
      <c r="A781" s="70">
        <f t="shared" si="89"/>
        <v>3.79</v>
      </c>
      <c r="B781" s="60">
        <v>0</v>
      </c>
      <c r="C781" s="70">
        <v>3.79</v>
      </c>
      <c r="D781" s="70">
        <v>1</v>
      </c>
      <c r="E781" s="71">
        <f t="shared" si="90"/>
        <v>-7.1820500000000003</v>
      </c>
      <c r="F781" s="72">
        <f t="shared" si="91"/>
        <v>3.0323922782200417E-4</v>
      </c>
      <c r="G781" s="70">
        <f t="shared" si="87"/>
        <v>9.9999999999997868E-3</v>
      </c>
      <c r="H781" s="60">
        <f t="shared" si="86"/>
        <v>3.0323922782199771E-6</v>
      </c>
      <c r="I781" s="60">
        <f t="shared" si="85"/>
        <v>0.99989517642502035</v>
      </c>
      <c r="J781" s="60">
        <f t="shared" si="88"/>
        <v>0.99992467635762128</v>
      </c>
    </row>
    <row r="782" spans="1:10" x14ac:dyDescent="0.3">
      <c r="A782" s="70">
        <f t="shared" si="89"/>
        <v>3.8</v>
      </c>
      <c r="B782" s="60">
        <v>0</v>
      </c>
      <c r="C782" s="70">
        <v>3.8</v>
      </c>
      <c r="D782" s="70">
        <v>1</v>
      </c>
      <c r="E782" s="71">
        <f t="shared" si="90"/>
        <v>-7.22</v>
      </c>
      <c r="F782" s="72">
        <f t="shared" si="91"/>
        <v>2.9194692579146027E-4</v>
      </c>
      <c r="G782" s="70">
        <f t="shared" si="87"/>
        <v>1.0000000000000231E-2</v>
      </c>
      <c r="H782" s="60">
        <f t="shared" si="86"/>
        <v>2.9194692579146702E-6</v>
      </c>
      <c r="I782" s="60">
        <f t="shared" si="85"/>
        <v>0.99989809589427825</v>
      </c>
      <c r="J782" s="60">
        <f t="shared" si="88"/>
        <v>0.99992765195607491</v>
      </c>
    </row>
    <row r="783" spans="1:10" x14ac:dyDescent="0.3">
      <c r="A783" s="70">
        <f t="shared" si="89"/>
        <v>3.81</v>
      </c>
      <c r="B783" s="60">
        <v>0</v>
      </c>
      <c r="C783" s="70">
        <v>3.81</v>
      </c>
      <c r="D783" s="70">
        <v>1</v>
      </c>
      <c r="E783" s="71">
        <f t="shared" si="90"/>
        <v>-7.2580499999999999</v>
      </c>
      <c r="F783" s="72">
        <f t="shared" si="91"/>
        <v>2.8104703080998632E-4</v>
      </c>
      <c r="G783" s="70">
        <f t="shared" si="87"/>
        <v>9.9999999999997868E-3</v>
      </c>
      <c r="H783" s="60">
        <f t="shared" si="86"/>
        <v>2.8104703080998032E-6</v>
      </c>
      <c r="I783" s="60">
        <f t="shared" si="85"/>
        <v>0.99990090636458639</v>
      </c>
      <c r="J783" s="60">
        <f t="shared" si="88"/>
        <v>0.99993051660412013</v>
      </c>
    </row>
    <row r="784" spans="1:10" x14ac:dyDescent="0.3">
      <c r="A784" s="70">
        <f t="shared" si="89"/>
        <v>3.82</v>
      </c>
      <c r="B784" s="60">
        <v>0</v>
      </c>
      <c r="C784" s="70">
        <v>3.82</v>
      </c>
      <c r="D784" s="70">
        <v>1</v>
      </c>
      <c r="E784" s="71">
        <f t="shared" si="90"/>
        <v>-7.2961999999999998</v>
      </c>
      <c r="F784" s="72">
        <f t="shared" si="91"/>
        <v>2.70527031461521E-4</v>
      </c>
      <c r="G784" s="70">
        <f t="shared" si="87"/>
        <v>1.0000000000000231E-2</v>
      </c>
      <c r="H784" s="60">
        <f t="shared" si="86"/>
        <v>2.7052703146152727E-6</v>
      </c>
      <c r="I784" s="60">
        <f t="shared" si="85"/>
        <v>0.99990361163490105</v>
      </c>
      <c r="J784" s="60">
        <f t="shared" si="88"/>
        <v>0.99993327416297029</v>
      </c>
    </row>
    <row r="785" spans="1:10" x14ac:dyDescent="0.3">
      <c r="A785" s="70">
        <f t="shared" si="89"/>
        <v>3.83</v>
      </c>
      <c r="B785" s="60">
        <v>0</v>
      </c>
      <c r="C785" s="70">
        <v>3.83</v>
      </c>
      <c r="D785" s="70">
        <v>1</v>
      </c>
      <c r="E785" s="71">
        <f t="shared" si="90"/>
        <v>-7.3344500000000004</v>
      </c>
      <c r="F785" s="72">
        <f t="shared" si="91"/>
        <v>2.6037477221844247E-4</v>
      </c>
      <c r="G785" s="70">
        <f t="shared" si="87"/>
        <v>9.9999999999997868E-3</v>
      </c>
      <c r="H785" s="60">
        <f t="shared" si="86"/>
        <v>2.6037477221843693E-6</v>
      </c>
      <c r="I785" s="60">
        <f t="shared" si="85"/>
        <v>0.99990621538262325</v>
      </c>
      <c r="J785" s="60">
        <f t="shared" si="88"/>
        <v>0.99993592837051115</v>
      </c>
    </row>
    <row r="786" spans="1:10" x14ac:dyDescent="0.3">
      <c r="A786" s="70">
        <f t="shared" si="89"/>
        <v>3.84</v>
      </c>
      <c r="B786" s="60">
        <v>0</v>
      </c>
      <c r="C786" s="70">
        <v>3.84</v>
      </c>
      <c r="D786" s="70">
        <v>1</v>
      </c>
      <c r="E786" s="71">
        <f t="shared" si="90"/>
        <v>-7.3727999999999998</v>
      </c>
      <c r="F786" s="72">
        <f t="shared" si="91"/>
        <v>2.5057844489086075E-4</v>
      </c>
      <c r="G786" s="70">
        <f t="shared" si="87"/>
        <v>1.0000000000000231E-2</v>
      </c>
      <c r="H786" s="60">
        <f t="shared" si="86"/>
        <v>2.5057844489086653E-6</v>
      </c>
      <c r="I786" s="60">
        <f t="shared" si="85"/>
        <v>0.99990872116707219</v>
      </c>
      <c r="J786" s="60">
        <f t="shared" si="88"/>
        <v>0.99993848284481679</v>
      </c>
    </row>
    <row r="787" spans="1:10" x14ac:dyDescent="0.3">
      <c r="A787" s="70">
        <f t="shared" si="89"/>
        <v>3.85</v>
      </c>
      <c r="B787" s="60">
        <v>0</v>
      </c>
      <c r="C787" s="70">
        <v>3.85</v>
      </c>
      <c r="D787" s="70">
        <v>1</v>
      </c>
      <c r="E787" s="71">
        <f t="shared" si="90"/>
        <v>-7.4112500000000008</v>
      </c>
      <c r="F787" s="72">
        <f t="shared" si="91"/>
        <v>2.4112658022599324E-4</v>
      </c>
      <c r="G787" s="70">
        <f t="shared" si="87"/>
        <v>9.9999999999997868E-3</v>
      </c>
      <c r="H787" s="60">
        <f t="shared" si="86"/>
        <v>2.4112658022598811E-6</v>
      </c>
      <c r="I787" s="60">
        <f t="shared" ref="I787:I802" si="92">H787+I786</f>
        <v>0.99991113243287444</v>
      </c>
      <c r="J787" s="60">
        <f t="shared" si="88"/>
        <v>0.99994094108758103</v>
      </c>
    </row>
    <row r="788" spans="1:10" x14ac:dyDescent="0.3">
      <c r="A788" s="70">
        <f t="shared" si="89"/>
        <v>3.86</v>
      </c>
      <c r="B788" s="60">
        <v>0</v>
      </c>
      <c r="C788" s="70">
        <v>3.86</v>
      </c>
      <c r="D788" s="70">
        <v>1</v>
      </c>
      <c r="E788" s="71">
        <f t="shared" si="90"/>
        <v>-7.4497999999999998</v>
      </c>
      <c r="F788" s="72">
        <f t="shared" si="91"/>
        <v>2.3200803965694238E-4</v>
      </c>
      <c r="G788" s="70">
        <f t="shared" si="87"/>
        <v>1.0000000000000231E-2</v>
      </c>
      <c r="H788" s="60">
        <f t="shared" si="86"/>
        <v>2.3200803965694773E-6</v>
      </c>
      <c r="I788" s="60">
        <f t="shared" si="92"/>
        <v>0.99991345251327102</v>
      </c>
      <c r="J788" s="60">
        <f t="shared" si="88"/>
        <v>0.99994330648746577</v>
      </c>
    </row>
    <row r="789" spans="1:10" x14ac:dyDescent="0.3">
      <c r="A789" s="70">
        <f t="shared" si="89"/>
        <v>3.87</v>
      </c>
      <c r="B789" s="60">
        <v>0</v>
      </c>
      <c r="C789" s="70">
        <v>3.87</v>
      </c>
      <c r="D789" s="70">
        <v>1</v>
      </c>
      <c r="E789" s="71">
        <f t="shared" si="90"/>
        <v>-7.4884500000000003</v>
      </c>
      <c r="F789" s="72">
        <f t="shared" si="91"/>
        <v>2.2321200720010206E-4</v>
      </c>
      <c r="G789" s="70">
        <f t="shared" si="87"/>
        <v>9.9999999999997868E-3</v>
      </c>
      <c r="H789" s="60">
        <f t="shared" si="86"/>
        <v>2.232120072000973E-6</v>
      </c>
      <c r="I789" s="60">
        <f t="shared" si="92"/>
        <v>0.99991568463334302</v>
      </c>
      <c r="J789" s="60">
        <f t="shared" si="88"/>
        <v>0.99994558232336628</v>
      </c>
    </row>
    <row r="790" spans="1:10" x14ac:dyDescent="0.3">
      <c r="A790" s="70">
        <f t="shared" si="89"/>
        <v>3.88</v>
      </c>
      <c r="B790" s="60">
        <v>0</v>
      </c>
      <c r="C790" s="70">
        <v>3.88</v>
      </c>
      <c r="D790" s="70">
        <v>1</v>
      </c>
      <c r="E790" s="71">
        <f t="shared" si="90"/>
        <v>-7.5271999999999997</v>
      </c>
      <c r="F790" s="72">
        <f t="shared" si="91"/>
        <v>2.1472798150036704E-4</v>
      </c>
      <c r="G790" s="70">
        <f t="shared" si="87"/>
        <v>1.0000000000000231E-2</v>
      </c>
      <c r="H790" s="60">
        <f t="shared" si="86"/>
        <v>2.1472798150037201E-6</v>
      </c>
      <c r="I790" s="60">
        <f t="shared" si="92"/>
        <v>0.99991783191315797</v>
      </c>
      <c r="J790" s="60">
        <f t="shared" si="88"/>
        <v>0.99994777176759819</v>
      </c>
    </row>
    <row r="791" spans="1:10" x14ac:dyDescent="0.3">
      <c r="A791" s="70">
        <f t="shared" si="89"/>
        <v>3.89</v>
      </c>
      <c r="B791" s="60">
        <v>0</v>
      </c>
      <c r="C791" s="70">
        <v>3.89</v>
      </c>
      <c r="D791" s="70">
        <v>1</v>
      </c>
      <c r="E791" s="71">
        <f t="shared" si="90"/>
        <v>-7.5660500000000006</v>
      </c>
      <c r="F791" s="72">
        <f t="shared" si="91"/>
        <v>2.0654576802322548E-4</v>
      </c>
      <c r="G791" s="70">
        <f t="shared" si="87"/>
        <v>9.9999999999997868E-3</v>
      </c>
      <c r="H791" s="60">
        <f t="shared" si="86"/>
        <v>2.0654576802322109E-6</v>
      </c>
      <c r="I791" s="60">
        <f t="shared" si="92"/>
        <v>0.9999198973708382</v>
      </c>
      <c r="J791" s="60">
        <f t="shared" si="88"/>
        <v>0.9999498778890038</v>
      </c>
    </row>
    <row r="792" spans="1:10" x14ac:dyDescent="0.3">
      <c r="A792" s="70">
        <f t="shared" si="89"/>
        <v>3.9</v>
      </c>
      <c r="B792" s="60">
        <v>0</v>
      </c>
      <c r="C792" s="70">
        <v>3.9</v>
      </c>
      <c r="D792" s="70">
        <v>1</v>
      </c>
      <c r="E792" s="71">
        <f t="shared" si="90"/>
        <v>-7.6049999999999995</v>
      </c>
      <c r="F792" s="72">
        <f t="shared" si="91"/>
        <v>1.9865547139277272E-4</v>
      </c>
      <c r="G792" s="70">
        <f t="shared" si="87"/>
        <v>1.0000000000000231E-2</v>
      </c>
      <c r="H792" s="60">
        <f t="shared" si="86"/>
        <v>1.9865547139277731E-6</v>
      </c>
      <c r="I792" s="60">
        <f t="shared" si="92"/>
        <v>0.99992188392555215</v>
      </c>
      <c r="J792" s="60">
        <f t="shared" si="88"/>
        <v>0.99995190365598241</v>
      </c>
    </row>
    <row r="793" spans="1:10" x14ac:dyDescent="0.3">
      <c r="A793" s="70">
        <f t="shared" si="89"/>
        <v>3.91</v>
      </c>
      <c r="B793" s="60">
        <v>0</v>
      </c>
      <c r="C793" s="70">
        <v>3.91</v>
      </c>
      <c r="D793" s="70">
        <v>1</v>
      </c>
      <c r="E793" s="71">
        <f t="shared" si="90"/>
        <v>-7.6440500000000009</v>
      </c>
      <c r="F793" s="72">
        <f t="shared" si="91"/>
        <v>1.9104748787459762E-4</v>
      </c>
      <c r="G793" s="70">
        <f t="shared" si="87"/>
        <v>9.9999999999997868E-3</v>
      </c>
      <c r="H793" s="60">
        <f t="shared" si="86"/>
        <v>1.9104748787459356E-6</v>
      </c>
      <c r="I793" s="60">
        <f t="shared" si="92"/>
        <v>0.99992379440043089</v>
      </c>
      <c r="J793" s="60">
        <f t="shared" si="88"/>
        <v>0.99995385193944375</v>
      </c>
    </row>
    <row r="794" spans="1:10" x14ac:dyDescent="0.3">
      <c r="A794" s="70">
        <f t="shared" si="89"/>
        <v>3.92</v>
      </c>
      <c r="B794" s="60">
        <v>0</v>
      </c>
      <c r="C794" s="70">
        <v>3.92</v>
      </c>
      <c r="D794" s="70">
        <v>1</v>
      </c>
      <c r="E794" s="71">
        <f t="shared" si="90"/>
        <v>-7.6831999999999994</v>
      </c>
      <c r="F794" s="72">
        <f t="shared" si="91"/>
        <v>1.8371249800245711E-4</v>
      </c>
      <c r="G794" s="70">
        <f t="shared" si="87"/>
        <v>1.0000000000000231E-2</v>
      </c>
      <c r="H794" s="60">
        <f t="shared" si="86"/>
        <v>1.8371249800246134E-6</v>
      </c>
      <c r="I794" s="60">
        <f t="shared" si="92"/>
        <v>0.99992563152541092</v>
      </c>
      <c r="J794" s="60">
        <f t="shared" si="88"/>
        <v>0.9999557255156879</v>
      </c>
    </row>
    <row r="795" spans="1:10" x14ac:dyDescent="0.3">
      <c r="A795" s="70">
        <f t="shared" si="89"/>
        <v>3.93</v>
      </c>
      <c r="B795" s="60">
        <v>0</v>
      </c>
      <c r="C795" s="70">
        <v>3.93</v>
      </c>
      <c r="D795" s="70">
        <v>1</v>
      </c>
      <c r="E795" s="71">
        <f t="shared" si="90"/>
        <v>-7.7224500000000003</v>
      </c>
      <c r="F795" s="72">
        <f t="shared" si="91"/>
        <v>1.7664145934757092E-4</v>
      </c>
      <c r="G795" s="70">
        <f t="shared" si="87"/>
        <v>9.9999999999997868E-3</v>
      </c>
      <c r="H795" s="60">
        <f t="shared" si="86"/>
        <v>1.7664145934756715E-6</v>
      </c>
      <c r="I795" s="60">
        <f t="shared" si="92"/>
        <v>0.9999273979400044</v>
      </c>
      <c r="J795" s="60">
        <f t="shared" si="88"/>
        <v>0.99995752706921126</v>
      </c>
    </row>
    <row r="796" spans="1:10" x14ac:dyDescent="0.3">
      <c r="A796" s="70">
        <f t="shared" si="89"/>
        <v>3.94</v>
      </c>
      <c r="B796" s="60">
        <v>0</v>
      </c>
      <c r="C796" s="70">
        <v>3.94</v>
      </c>
      <c r="D796" s="70">
        <v>1</v>
      </c>
      <c r="E796" s="71">
        <f t="shared" si="90"/>
        <v>-7.7618</v>
      </c>
      <c r="F796" s="72">
        <f t="shared" si="91"/>
        <v>1.6982559942934359E-4</v>
      </c>
      <c r="G796" s="70">
        <f t="shared" si="87"/>
        <v>1.0000000000000231E-2</v>
      </c>
      <c r="H796" s="60">
        <f t="shared" si="86"/>
        <v>1.698255994293475E-6</v>
      </c>
      <c r="I796" s="60">
        <f t="shared" si="92"/>
        <v>0.99992909619599868</v>
      </c>
      <c r="J796" s="60">
        <f t="shared" si="88"/>
        <v>0.99995925919544149</v>
      </c>
    </row>
    <row r="797" spans="1:10" x14ac:dyDescent="0.3">
      <c r="A797" s="70">
        <f t="shared" si="89"/>
        <v>3.95</v>
      </c>
      <c r="B797" s="60">
        <v>0</v>
      </c>
      <c r="C797" s="70">
        <v>3.95</v>
      </c>
      <c r="D797" s="70">
        <v>1</v>
      </c>
      <c r="E797" s="71">
        <f t="shared" si="90"/>
        <v>-7.8012500000000005</v>
      </c>
      <c r="F797" s="72">
        <f t="shared" si="91"/>
        <v>1.6325640876624199E-4</v>
      </c>
      <c r="G797" s="70">
        <f t="shared" si="87"/>
        <v>9.9999999999997868E-3</v>
      </c>
      <c r="H797" s="60">
        <f t="shared" si="86"/>
        <v>1.6325640876623852E-6</v>
      </c>
      <c r="I797" s="60">
        <f t="shared" si="92"/>
        <v>0.99993072876008637</v>
      </c>
      <c r="J797" s="60">
        <f t="shared" si="88"/>
        <v>0.99996092440340223</v>
      </c>
    </row>
    <row r="798" spans="1:10" x14ac:dyDescent="0.3">
      <c r="A798" s="70">
        <f t="shared" si="89"/>
        <v>3.96</v>
      </c>
      <c r="B798" s="60">
        <v>0</v>
      </c>
      <c r="C798" s="70">
        <v>3.96</v>
      </c>
      <c r="D798" s="70">
        <v>1</v>
      </c>
      <c r="E798" s="71">
        <f t="shared" si="90"/>
        <v>-7.8407999999999998</v>
      </c>
      <c r="F798" s="72">
        <f t="shared" si="91"/>
        <v>1.5692563406553226E-4</v>
      </c>
      <c r="G798" s="70">
        <f t="shared" si="87"/>
        <v>1.0000000000000231E-2</v>
      </c>
      <c r="H798" s="60">
        <f t="shared" si="86"/>
        <v>1.5692563406553589E-6</v>
      </c>
      <c r="I798" s="60">
        <f t="shared" si="92"/>
        <v>0.99993229801642702</v>
      </c>
      <c r="J798" s="60">
        <f t="shared" si="88"/>
        <v>0.99996252511830896</v>
      </c>
    </row>
    <row r="799" spans="1:10" x14ac:dyDescent="0.3">
      <c r="A799" s="70">
        <f t="shared" si="89"/>
        <v>3.97</v>
      </c>
      <c r="B799" s="60">
        <v>0</v>
      </c>
      <c r="C799" s="70">
        <v>3.97</v>
      </c>
      <c r="D799" s="70">
        <v>1</v>
      </c>
      <c r="E799" s="71">
        <f t="shared" si="90"/>
        <v>-7.8804500000000006</v>
      </c>
      <c r="F799" s="72">
        <f t="shared" si="91"/>
        <v>1.508252715505178E-4</v>
      </c>
      <c r="G799" s="70">
        <f t="shared" si="87"/>
        <v>9.9999999999997868E-3</v>
      </c>
      <c r="H799" s="60">
        <f t="shared" si="86"/>
        <v>1.5082527155051458E-6</v>
      </c>
      <c r="I799" s="60">
        <f t="shared" si="92"/>
        <v>0.99993380626914252</v>
      </c>
      <c r="J799" s="60">
        <f t="shared" si="88"/>
        <v>0.99996406368409718</v>
      </c>
    </row>
    <row r="800" spans="1:10" x14ac:dyDescent="0.3">
      <c r="A800" s="70">
        <f t="shared" si="89"/>
        <v>3.98</v>
      </c>
      <c r="B800" s="60">
        <v>0</v>
      </c>
      <c r="C800" s="70">
        <v>3.98</v>
      </c>
      <c r="D800" s="70">
        <v>1</v>
      </c>
      <c r="E800" s="71">
        <f t="shared" si="90"/>
        <v>-7.9202000000000004</v>
      </c>
      <c r="F800" s="72">
        <f t="shared" si="91"/>
        <v>1.4494756042389106E-4</v>
      </c>
      <c r="G800" s="70">
        <f t="shared" si="87"/>
        <v>1.0000000000000231E-2</v>
      </c>
      <c r="H800" s="60">
        <f t="shared" si="86"/>
        <v>1.449475604238944E-6</v>
      </c>
      <c r="I800" s="60">
        <f t="shared" si="92"/>
        <v>0.99993525574474673</v>
      </c>
      <c r="J800" s="60">
        <f t="shared" si="88"/>
        <v>0.99996554236588497</v>
      </c>
    </row>
    <row r="801" spans="1:10" x14ac:dyDescent="0.3">
      <c r="A801" s="70">
        <f t="shared" si="89"/>
        <v>3.99</v>
      </c>
      <c r="B801" s="60">
        <v>0</v>
      </c>
      <c r="C801" s="70">
        <v>3.99</v>
      </c>
      <c r="D801" s="70">
        <v>1</v>
      </c>
      <c r="E801" s="71">
        <f t="shared" si="90"/>
        <v>-7.9600500000000007</v>
      </c>
      <c r="F801" s="72">
        <f t="shared" si="91"/>
        <v>1.3928497646575994E-4</v>
      </c>
      <c r="G801" s="70">
        <f t="shared" si="87"/>
        <v>9.9999999999997868E-3</v>
      </c>
      <c r="H801" s="60">
        <f t="shared" si="86"/>
        <v>1.3928497646575696E-6</v>
      </c>
      <c r="I801" s="60">
        <f t="shared" si="92"/>
        <v>0.99993664859451137</v>
      </c>
      <c r="J801" s="60">
        <f t="shared" si="88"/>
        <v>0.99996696335237056</v>
      </c>
    </row>
    <row r="802" spans="1:10" x14ac:dyDescent="0.3">
      <c r="A802" s="70">
        <f t="shared" si="89"/>
        <v>4</v>
      </c>
      <c r="B802" s="60">
        <v>0</v>
      </c>
      <c r="C802" s="70">
        <v>4</v>
      </c>
      <c r="D802" s="70">
        <v>1</v>
      </c>
      <c r="E802" s="71">
        <f t="shared" si="90"/>
        <v>-8</v>
      </c>
      <c r="F802" s="72">
        <f t="shared" si="91"/>
        <v>1.3383022576488537E-4</v>
      </c>
      <c r="G802" s="70">
        <f t="shared" si="87"/>
        <v>-4</v>
      </c>
      <c r="H802" s="60">
        <f t="shared" si="86"/>
        <v>-5.3532090305954147E-4</v>
      </c>
      <c r="I802" s="60">
        <f t="shared" si="92"/>
        <v>0.99940132769145185</v>
      </c>
      <c r="J802" s="60">
        <f t="shared" si="88"/>
        <v>0.99996832875816688</v>
      </c>
    </row>
  </sheetData>
  <mergeCells count="2">
    <mergeCell ref="K16:Q16"/>
    <mergeCell ref="K1:Q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778"/>
  <sheetViews>
    <sheetView zoomScale="70" zoomScaleNormal="70" workbookViewId="0">
      <pane ySplit="1" topLeftCell="A2" activePane="bottomLeft" state="frozen"/>
      <selection pane="bottomLeft" activeCell="W28" sqref="W28"/>
    </sheetView>
  </sheetViews>
  <sheetFormatPr defaultRowHeight="15.6" x14ac:dyDescent="0.3"/>
  <cols>
    <col min="1" max="1" width="8.88671875" style="76"/>
    <col min="2" max="2" width="10.109375" style="75" customWidth="1"/>
    <col min="3" max="3" width="8.88671875" style="77"/>
    <col min="5" max="5" width="8.88671875" style="77"/>
    <col min="7" max="7" width="8.88671875" style="77"/>
    <col min="9" max="9" width="8.88671875" style="77"/>
    <col min="11" max="11" width="8.88671875" style="77"/>
    <col min="13" max="13" width="8.88671875" style="77"/>
    <col min="15" max="15" width="8.88671875" style="77"/>
    <col min="17" max="17" width="8.88671875" style="77"/>
    <col min="19" max="19" width="8.88671875" style="77"/>
  </cols>
  <sheetData>
    <row r="1" spans="1:20" ht="18.600000000000001" customHeight="1" thickBot="1" x14ac:dyDescent="0.35">
      <c r="A1" s="88" t="s">
        <v>417</v>
      </c>
      <c r="B1" s="89" t="s">
        <v>431</v>
      </c>
      <c r="C1" s="88" t="s">
        <v>417</v>
      </c>
      <c r="D1" s="89" t="s">
        <v>431</v>
      </c>
      <c r="E1" s="88" t="s">
        <v>417</v>
      </c>
      <c r="F1" s="89" t="s">
        <v>431</v>
      </c>
      <c r="G1" s="88" t="s">
        <v>417</v>
      </c>
      <c r="H1" s="89" t="s">
        <v>431</v>
      </c>
      <c r="I1" s="88" t="s">
        <v>417</v>
      </c>
      <c r="J1" s="89" t="s">
        <v>431</v>
      </c>
      <c r="K1" s="88" t="s">
        <v>417</v>
      </c>
      <c r="L1" s="89" t="s">
        <v>431</v>
      </c>
      <c r="M1" s="88" t="s">
        <v>417</v>
      </c>
      <c r="N1" s="89" t="s">
        <v>431</v>
      </c>
      <c r="O1" s="88" t="s">
        <v>417</v>
      </c>
      <c r="P1" s="89" t="s">
        <v>431</v>
      </c>
      <c r="Q1" s="88" t="s">
        <v>417</v>
      </c>
      <c r="R1" s="89" t="s">
        <v>431</v>
      </c>
      <c r="S1" s="88" t="s">
        <v>417</v>
      </c>
      <c r="T1" s="89" t="s">
        <v>431</v>
      </c>
    </row>
    <row r="2" spans="1:20" ht="14.7" customHeight="1" x14ac:dyDescent="0.3">
      <c r="A2" s="90">
        <v>-3.99</v>
      </c>
      <c r="B2" s="91">
        <v>3.3036647628437166E-5</v>
      </c>
      <c r="C2" s="99">
        <v>-3.74000000000001</v>
      </c>
      <c r="D2" s="100">
        <v>9.2010127476616077E-5</v>
      </c>
      <c r="E2" s="90">
        <v>-3.49000000000001</v>
      </c>
      <c r="F2" s="91">
        <v>2.4151027356777988E-4</v>
      </c>
      <c r="G2" s="99">
        <v>-3.2400000000000202</v>
      </c>
      <c r="H2" s="100">
        <v>5.9764849793397801E-4</v>
      </c>
      <c r="I2" s="90">
        <v>-2.9900000000000202</v>
      </c>
      <c r="J2" s="91">
        <v>1.3948872354918596E-3</v>
      </c>
      <c r="K2" s="99">
        <v>-2.74000000000003</v>
      </c>
      <c r="L2" s="100">
        <v>3.071959218650222E-3</v>
      </c>
      <c r="M2" s="90">
        <v>-2.49000000000003</v>
      </c>
      <c r="N2" s="91">
        <v>6.3871547649428928E-3</v>
      </c>
      <c r="O2" s="99">
        <v>-2.2400000000000402</v>
      </c>
      <c r="P2" s="100">
        <v>1.254546143594526E-2</v>
      </c>
      <c r="Q2" s="90">
        <v>-1.99000000000004</v>
      </c>
      <c r="R2" s="91">
        <v>2.3295467750209631E-2</v>
      </c>
      <c r="S2" s="99">
        <v>-1.74000000000005</v>
      </c>
      <c r="T2" s="100">
        <v>4.0929508978802986E-2</v>
      </c>
    </row>
    <row r="3" spans="1:20" ht="14.7" customHeight="1" x14ac:dyDescent="0.35">
      <c r="A3" s="92">
        <v>-3.98</v>
      </c>
      <c r="B3" s="93">
        <v>3.4457634115581115E-5</v>
      </c>
      <c r="C3" s="101">
        <v>-3.7300000000000102</v>
      </c>
      <c r="D3" s="102">
        <v>9.5739885267009939E-5</v>
      </c>
      <c r="E3" s="92">
        <v>-3.4800000000000102</v>
      </c>
      <c r="F3" s="93">
        <v>2.507068912820376E-4</v>
      </c>
      <c r="G3" s="101">
        <v>-3.23000000000002</v>
      </c>
      <c r="H3" s="102">
        <v>6.1895109038645479E-4</v>
      </c>
      <c r="I3" s="92">
        <v>-2.98000000000002</v>
      </c>
      <c r="J3" s="93">
        <v>1.4412419173399638E-3</v>
      </c>
      <c r="K3" s="101">
        <v>-2.7300000000000302</v>
      </c>
      <c r="L3" s="102">
        <v>3.1667162773573176E-3</v>
      </c>
      <c r="M3" s="92">
        <v>-2.4800000000000302</v>
      </c>
      <c r="N3" s="93">
        <v>6.569119135546142E-3</v>
      </c>
      <c r="O3" s="101">
        <v>-2.23000000000004</v>
      </c>
      <c r="P3" s="102">
        <v>1.2873721438600549E-2</v>
      </c>
      <c r="Q3" s="92">
        <v>-1.98000000000004</v>
      </c>
      <c r="R3" s="93">
        <v>2.3851764341506154E-2</v>
      </c>
      <c r="S3" s="101">
        <v>-1.7300000000000499</v>
      </c>
      <c r="T3" s="102">
        <v>4.181513761359068E-2</v>
      </c>
    </row>
    <row r="4" spans="1:20" ht="14.7" customHeight="1" x14ac:dyDescent="0.3">
      <c r="A4" s="94">
        <v>-3.97</v>
      </c>
      <c r="B4" s="95">
        <v>3.5936315902374005E-5</v>
      </c>
      <c r="C4" s="103">
        <v>-3.72000000000001</v>
      </c>
      <c r="D4" s="104">
        <v>9.9611388973741555E-5</v>
      </c>
      <c r="E4" s="94">
        <v>-3.47000000000001</v>
      </c>
      <c r="F4" s="95">
        <v>2.6022918242640802E-4</v>
      </c>
      <c r="G4" s="103">
        <v>-3.2200000000000202</v>
      </c>
      <c r="H4" s="104">
        <v>6.4095298366007025E-4</v>
      </c>
      <c r="I4" s="94">
        <v>-2.9700000000000202</v>
      </c>
      <c r="J4" s="95">
        <v>1.4889987452373354E-3</v>
      </c>
      <c r="K4" s="103">
        <v>-2.7200000000000299</v>
      </c>
      <c r="L4" s="104">
        <v>3.2640958158909328E-3</v>
      </c>
      <c r="M4" s="94">
        <v>-2.4700000000000299</v>
      </c>
      <c r="N4" s="95">
        <v>6.7556526071399503E-3</v>
      </c>
      <c r="O4" s="103">
        <v>-2.2200000000000402</v>
      </c>
      <c r="P4" s="104">
        <v>1.3209383807254671E-2</v>
      </c>
      <c r="Q4" s="94">
        <v>-1.9700000000000399</v>
      </c>
      <c r="R4" s="95">
        <v>2.4419185280220135E-2</v>
      </c>
      <c r="S4" s="103">
        <v>-1.7200000000000499</v>
      </c>
      <c r="T4" s="104">
        <v>4.2716220791324311E-2</v>
      </c>
    </row>
    <row r="5" spans="1:20" ht="14.7" customHeight="1" x14ac:dyDescent="0.35">
      <c r="A5" s="92">
        <v>-3.96</v>
      </c>
      <c r="B5" s="93">
        <v>3.7474881696919482E-5</v>
      </c>
      <c r="C5" s="101">
        <v>-3.7100000000000102</v>
      </c>
      <c r="D5" s="102">
        <v>1.0362962367338469E-4</v>
      </c>
      <c r="E5" s="92">
        <v>-3.4600000000000102</v>
      </c>
      <c r="F5" s="93">
        <v>2.7008769396297261E-4</v>
      </c>
      <c r="G5" s="101">
        <v>-3.2100000000000199</v>
      </c>
      <c r="H5" s="102">
        <v>6.6367486143958931E-4</v>
      </c>
      <c r="I5" s="92">
        <v>-2.9600000000000199</v>
      </c>
      <c r="J5" s="93">
        <v>1.5381952117377029E-3</v>
      </c>
      <c r="K5" s="101">
        <v>-2.7100000000000302</v>
      </c>
      <c r="L5" s="102">
        <v>3.3641604066690922E-3</v>
      </c>
      <c r="M5" s="92">
        <v>-2.4600000000000302</v>
      </c>
      <c r="N5" s="93">
        <v>6.9468507886234487E-3</v>
      </c>
      <c r="O5" s="101">
        <v>-2.2100000000000399</v>
      </c>
      <c r="P5" s="102">
        <v>1.3552581146418774E-2</v>
      </c>
      <c r="Q5" s="92">
        <v>-1.9600000000000399</v>
      </c>
      <c r="R5" s="93">
        <v>2.4997895148218152E-2</v>
      </c>
      <c r="S5" s="101">
        <v>-1.7100000000000499</v>
      </c>
      <c r="T5" s="102">
        <v>4.3632936524027333E-2</v>
      </c>
    </row>
    <row r="6" spans="1:20" ht="14.7" customHeight="1" x14ac:dyDescent="0.3">
      <c r="A6" s="94">
        <v>-3.95</v>
      </c>
      <c r="B6" s="95">
        <v>3.9075596597548667E-5</v>
      </c>
      <c r="C6" s="103">
        <v>-3.7000000000000099</v>
      </c>
      <c r="D6" s="104">
        <v>1.0779973347818661E-4</v>
      </c>
      <c r="E6" s="94">
        <v>-3.4500000000000099</v>
      </c>
      <c r="F6" s="95">
        <v>2.8029327681589056E-4</v>
      </c>
      <c r="G6" s="103">
        <v>-3.2000000000000202</v>
      </c>
      <c r="H6" s="104">
        <v>6.8713793791619349E-4</v>
      </c>
      <c r="I6" s="94">
        <v>-2.9500000000000202</v>
      </c>
      <c r="J6" s="95">
        <v>1.5888696473648212E-3</v>
      </c>
      <c r="K6" s="103">
        <v>-2.7000000000000299</v>
      </c>
      <c r="L6" s="104">
        <v>3.4669738030406183E-3</v>
      </c>
      <c r="M6" s="94">
        <v>-2.4500000000000299</v>
      </c>
      <c r="N6" s="95">
        <v>7.1428107352706771E-3</v>
      </c>
      <c r="O6" s="103">
        <v>-2.2000000000000401</v>
      </c>
      <c r="P6" s="104">
        <v>1.3903447513497147E-2</v>
      </c>
      <c r="Q6" s="94">
        <v>-1.9500000000000399</v>
      </c>
      <c r="R6" s="95">
        <v>2.5588059521636342E-2</v>
      </c>
      <c r="S6" s="103">
        <v>-1.7000000000000499</v>
      </c>
      <c r="T6" s="104">
        <v>4.4565462758538343E-2</v>
      </c>
    </row>
    <row r="7" spans="1:20" ht="14.7" customHeight="1" x14ac:dyDescent="0.35">
      <c r="A7" s="92">
        <v>-3.94</v>
      </c>
      <c r="B7" s="93">
        <v>4.0740804559624699E-5</v>
      </c>
      <c r="C7" s="101">
        <v>-3.6900000000000102</v>
      </c>
      <c r="D7" s="102">
        <v>1.1212702598140112E-4</v>
      </c>
      <c r="E7" s="92">
        <v>-3.4400000000000102</v>
      </c>
      <c r="F7" s="93">
        <v>2.908570932901311E-4</v>
      </c>
      <c r="G7" s="101">
        <v>-3.1900000000000199</v>
      </c>
      <c r="H7" s="102">
        <v>7.113639686457951E-4</v>
      </c>
      <c r="I7" s="92">
        <v>-2.9400000000000199</v>
      </c>
      <c r="J7" s="93">
        <v>1.6410612341573039E-3</v>
      </c>
      <c r="K7" s="101">
        <v>-2.6900000000000301</v>
      </c>
      <c r="L7" s="102">
        <v>3.5726009523995295E-3</v>
      </c>
      <c r="M7" s="92">
        <v>-2.4400000000000301</v>
      </c>
      <c r="N7" s="93">
        <v>7.3436309553476242E-3</v>
      </c>
      <c r="O7" s="101">
        <v>-2.1900000000000399</v>
      </c>
      <c r="P7" s="102">
        <v>1.4262118410667379E-2</v>
      </c>
      <c r="Q7" s="92">
        <v>-1.9400000000000399</v>
      </c>
      <c r="R7" s="93">
        <v>2.6189844940450069E-2</v>
      </c>
      <c r="S7" s="101">
        <v>-1.6900000000000499</v>
      </c>
      <c r="T7" s="102">
        <v>4.5513977321545163E-2</v>
      </c>
    </row>
    <row r="8" spans="1:20" ht="14.7" customHeight="1" x14ac:dyDescent="0.3">
      <c r="A8" s="94">
        <v>-3.93</v>
      </c>
      <c r="B8" s="95">
        <v>4.2472930788184371E-5</v>
      </c>
      <c r="C8" s="103">
        <v>-3.6800000000000099</v>
      </c>
      <c r="D8" s="104">
        <v>1.1661697681497607E-4</v>
      </c>
      <c r="E8" s="94">
        <v>-3.4300000000000099</v>
      </c>
      <c r="F8" s="95">
        <v>3.0179062460766737E-4</v>
      </c>
      <c r="G8" s="103">
        <v>-3.1800000000000201</v>
      </c>
      <c r="H8" s="104">
        <v>7.3637526155401201E-4</v>
      </c>
      <c r="I8" s="94">
        <v>-2.9300000000000201</v>
      </c>
      <c r="J8" s="95">
        <v>1.694810019277071E-3</v>
      </c>
      <c r="K8" s="103">
        <v>-2.6800000000000299</v>
      </c>
      <c r="L8" s="104">
        <v>3.6811080091745385E-3</v>
      </c>
      <c r="M8" s="94">
        <v>-2.4300000000000299</v>
      </c>
      <c r="N8" s="95">
        <v>7.5494114163086046E-3</v>
      </c>
      <c r="O8" s="103">
        <v>-2.1800000000000401</v>
      </c>
      <c r="P8" s="104">
        <v>1.4628730775987808E-2</v>
      </c>
      <c r="Q8" s="94">
        <v>-1.9300000000000399</v>
      </c>
      <c r="R8" s="95">
        <v>2.6803418877052509E-2</v>
      </c>
      <c r="S8" s="103">
        <v>-1.6800000000000499</v>
      </c>
      <c r="T8" s="104">
        <v>4.6478657863715189E-2</v>
      </c>
    </row>
    <row r="9" spans="1:20" ht="14.7" customHeight="1" x14ac:dyDescent="0.35">
      <c r="A9" s="92">
        <v>-3.92</v>
      </c>
      <c r="B9" s="93">
        <v>4.4274484310102835E-5</v>
      </c>
      <c r="C9" s="101">
        <v>-3.6700000000000101</v>
      </c>
      <c r="D9" s="102">
        <v>1.2127523428639986E-4</v>
      </c>
      <c r="E9" s="92">
        <v>-3.4200000000000101</v>
      </c>
      <c r="F9" s="93">
        <v>3.1310567858122695E-4</v>
      </c>
      <c r="G9" s="101">
        <v>-3.1700000000000199</v>
      </c>
      <c r="H9" s="102">
        <v>7.6219468806715263E-4</v>
      </c>
      <c r="I9" s="92">
        <v>-2.9200000000000199</v>
      </c>
      <c r="J9" s="93">
        <v>1.7501569286757501E-3</v>
      </c>
      <c r="K9" s="101">
        <v>-2.6700000000000301</v>
      </c>
      <c r="L9" s="102">
        <v>3.7925623476848802E-3</v>
      </c>
      <c r="M9" s="92">
        <v>-2.4200000000000301</v>
      </c>
      <c r="N9" s="93">
        <v>7.7602535505529868E-3</v>
      </c>
      <c r="O9" s="101">
        <v>-2.1700000000000399</v>
      </c>
      <c r="P9" s="102">
        <v>1.5003422973730585E-2</v>
      </c>
      <c r="Q9" s="92">
        <v>-1.9200000000000399</v>
      </c>
      <c r="R9" s="93">
        <v>2.7428949703834249E-2</v>
      </c>
      <c r="S9" s="101">
        <v>-1.6700000000000501</v>
      </c>
      <c r="T9" s="102">
        <v>4.7459681802942355E-2</v>
      </c>
    </row>
    <row r="10" spans="1:20" ht="14.7" customHeight="1" x14ac:dyDescent="0.3">
      <c r="A10" s="94">
        <v>-3.91</v>
      </c>
      <c r="B10" s="95">
        <v>4.6148060554918047E-5</v>
      </c>
      <c r="C10" s="103">
        <v>-3.6600000000000099</v>
      </c>
      <c r="D10" s="104">
        <v>1.2610762413944876E-4</v>
      </c>
      <c r="E10" s="94">
        <v>-3.4100000000000099</v>
      </c>
      <c r="F10" s="95">
        <v>3.2481439741771645E-4</v>
      </c>
      <c r="G10" s="103">
        <v>-3.1600000000000201</v>
      </c>
      <c r="H10" s="104">
        <v>7.8884569437520646E-4</v>
      </c>
      <c r="I10" s="94">
        <v>-2.9100000000000201</v>
      </c>
      <c r="J10" s="95">
        <v>1.807143780806153E-3</v>
      </c>
      <c r="K10" s="103">
        <v>-2.6600000000000299</v>
      </c>
      <c r="L10" s="104">
        <v>3.9070325748523649E-3</v>
      </c>
      <c r="M10" s="94">
        <v>-2.4100000000000299</v>
      </c>
      <c r="N10" s="95">
        <v>7.976260260732948E-3</v>
      </c>
      <c r="O10" s="103">
        <v>-2.1600000000000401</v>
      </c>
      <c r="P10" s="104">
        <v>1.5386334783923816E-2</v>
      </c>
      <c r="Q10" s="94">
        <v>-1.9100000000000401</v>
      </c>
      <c r="R10" s="95">
        <v>2.8066606659769899E-2</v>
      </c>
      <c r="S10" s="103">
        <v>-1.6600000000000501</v>
      </c>
      <c r="T10" s="104">
        <v>4.8457226266717779E-2</v>
      </c>
    </row>
    <row r="11" spans="1:20" ht="14.7" customHeight="1" x14ac:dyDescent="0.35">
      <c r="A11" s="92">
        <v>-3.9</v>
      </c>
      <c r="B11" s="93">
        <v>4.8096344014481041E-5</v>
      </c>
      <c r="C11" s="101">
        <v>-3.6500000000000101</v>
      </c>
      <c r="D11" s="102">
        <v>1.3112015442140468E-4</v>
      </c>
      <c r="E11" s="92">
        <v>-3.4000000000000101</v>
      </c>
      <c r="F11" s="93">
        <v>3.3692926567652215E-4</v>
      </c>
      <c r="G11" s="101">
        <v>-3.1500000000000199</v>
      </c>
      <c r="H11" s="102">
        <v>8.1635231282861653E-4</v>
      </c>
      <c r="I11" s="92">
        <v>-2.9000000000000199</v>
      </c>
      <c r="J11" s="93">
        <v>1.8658133003837118E-3</v>
      </c>
      <c r="K11" s="101">
        <v>-2.6500000000000301</v>
      </c>
      <c r="L11" s="102">
        <v>4.0245885427581118E-3</v>
      </c>
      <c r="M11" s="92">
        <v>-2.4000000000000301</v>
      </c>
      <c r="N11" s="93">
        <v>8.1975359245953783E-3</v>
      </c>
      <c r="O11" s="101">
        <v>-2.1500000000000399</v>
      </c>
      <c r="P11" s="102">
        <v>1.577760739108891E-2</v>
      </c>
      <c r="Q11" s="92">
        <v>-1.9000000000000401</v>
      </c>
      <c r="R11" s="93">
        <v>2.8716559815999299E-2</v>
      </c>
      <c r="S11" s="101">
        <v>-1.6500000000000501</v>
      </c>
      <c r="T11" s="102">
        <v>4.9471468033642996E-2</v>
      </c>
    </row>
    <row r="12" spans="1:20" ht="14.7" customHeight="1" x14ac:dyDescent="0.3">
      <c r="A12" s="94">
        <v>-3.89</v>
      </c>
      <c r="B12" s="95">
        <v>5.0122111001305036E-5</v>
      </c>
      <c r="C12" s="103">
        <v>-3.6400000000000099</v>
      </c>
      <c r="D12" s="104">
        <v>1.3631902044675126E-4</v>
      </c>
      <c r="E12" s="94">
        <v>-3.3900000000000099</v>
      </c>
      <c r="F12" s="95">
        <v>3.4946311833849997E-4</v>
      </c>
      <c r="G12" s="103">
        <v>-3.1400000000000201</v>
      </c>
      <c r="H12" s="104">
        <v>8.4473917345828653E-4</v>
      </c>
      <c r="I12" s="94">
        <v>-2.8900000000000201</v>
      </c>
      <c r="J12" s="95">
        <v>1.9262091321877728E-3</v>
      </c>
      <c r="K12" s="103">
        <v>-2.6400000000000299</v>
      </c>
      <c r="L12" s="104">
        <v>4.145301361035747E-3</v>
      </c>
      <c r="M12" s="94">
        <v>-2.3900000000000299</v>
      </c>
      <c r="N12" s="95">
        <v>8.4241863993449462E-3</v>
      </c>
      <c r="O12" s="103">
        <v>-2.1400000000000401</v>
      </c>
      <c r="P12" s="104">
        <v>1.6177383372164345E-2</v>
      </c>
      <c r="Q12" s="94">
        <v>-1.8900000000000401</v>
      </c>
      <c r="R12" s="95">
        <v>2.9378980040406732E-2</v>
      </c>
      <c r="S12" s="103">
        <v>-1.6400000000000501</v>
      </c>
      <c r="T12" s="104">
        <v>5.050258347409875E-2</v>
      </c>
    </row>
    <row r="13" spans="1:20" ht="14.7" customHeight="1" x14ac:dyDescent="0.35">
      <c r="A13" s="92">
        <v>-3.88</v>
      </c>
      <c r="B13" s="93">
        <v>5.2228232402806718E-5</v>
      </c>
      <c r="C13" s="101">
        <v>-3.6300000000000101</v>
      </c>
      <c r="D13" s="102">
        <v>1.417106098757781E-4</v>
      </c>
      <c r="E13" s="92">
        <v>-3.3800000000000101</v>
      </c>
      <c r="F13" s="93">
        <v>3.62429149032506E-4</v>
      </c>
      <c r="G13" s="101">
        <v>-3.1300000000000199</v>
      </c>
      <c r="H13" s="102">
        <v>8.7403151563214543E-4</v>
      </c>
      <c r="I13" s="92">
        <v>-2.8800000000000199</v>
      </c>
      <c r="J13" s="93">
        <v>1.9883758548944197E-3</v>
      </c>
      <c r="K13" s="101">
        <v>-2.6300000000000301</v>
      </c>
      <c r="L13" s="102">
        <v>4.2692434090890741E-3</v>
      </c>
      <c r="M13" s="92">
        <v>-2.3800000000000301</v>
      </c>
      <c r="N13" s="93">
        <v>8.6563190255160016E-3</v>
      </c>
      <c r="O13" s="101">
        <v>-2.1300000000000399</v>
      </c>
      <c r="P13" s="102">
        <v>1.6585806683603432E-2</v>
      </c>
      <c r="Q13" s="92">
        <v>-1.8800000000000501</v>
      </c>
      <c r="R13" s="93">
        <v>3.0054038961196294E-2</v>
      </c>
      <c r="S13" s="101">
        <v>-1.6300000000000501</v>
      </c>
      <c r="T13" s="102">
        <v>5.155074849008412E-2</v>
      </c>
    </row>
    <row r="14" spans="1:20" ht="14.7" customHeight="1" x14ac:dyDescent="0.3">
      <c r="A14" s="94">
        <v>-3.87</v>
      </c>
      <c r="B14" s="95">
        <v>5.4417676638274237E-5</v>
      </c>
      <c r="C14" s="103">
        <v>-3.6200000000000099</v>
      </c>
      <c r="D14" s="104">
        <v>1.4730150790698282E-4</v>
      </c>
      <c r="E14" s="94">
        <v>-3.3700000000000099</v>
      </c>
      <c r="F14" s="95">
        <v>3.7584091840048295E-4</v>
      </c>
      <c r="G14" s="103">
        <v>-3.1200000000000201</v>
      </c>
      <c r="H14" s="104">
        <v>9.0425519982162417E-4</v>
      </c>
      <c r="I14" s="94">
        <v>-2.8700000000000201</v>
      </c>
      <c r="J14" s="95">
        <v>2.0523589949396071E-3</v>
      </c>
      <c r="K14" s="103">
        <v>-2.6200000000000299</v>
      </c>
      <c r="L14" s="104">
        <v>4.3964883481208972E-3</v>
      </c>
      <c r="M14" s="94">
        <v>-2.3700000000000299</v>
      </c>
      <c r="N14" s="95">
        <v>8.8940426303361075E-3</v>
      </c>
      <c r="O14" s="103">
        <v>-2.1200000000000401</v>
      </c>
      <c r="P14" s="104">
        <v>1.7003022647631205E-2</v>
      </c>
      <c r="Q14" s="94">
        <v>-1.8700000000000501</v>
      </c>
      <c r="R14" s="95">
        <v>3.0741908929462491E-2</v>
      </c>
      <c r="S14" s="103">
        <v>-1.6200000000000501</v>
      </c>
      <c r="T14" s="104">
        <v>5.2616138454246508E-2</v>
      </c>
    </row>
    <row r="15" spans="1:20" ht="14.7" customHeight="1" x14ac:dyDescent="0.35">
      <c r="A15" s="92">
        <v>-3.86</v>
      </c>
      <c r="B15" s="93">
        <v>5.6693512534788937E-5</v>
      </c>
      <c r="C15" s="101">
        <v>-3.6100000000000101</v>
      </c>
      <c r="D15" s="102">
        <v>1.530985025730569E-4</v>
      </c>
      <c r="E15" s="92">
        <v>-3.3600000000000101</v>
      </c>
      <c r="F15" s="93">
        <v>3.8971236258256159E-4</v>
      </c>
      <c r="G15" s="101">
        <v>-3.1100000000000199</v>
      </c>
      <c r="H15" s="102">
        <v>9.3543671951457075E-4</v>
      </c>
      <c r="I15" s="92">
        <v>-2.8600000000000199</v>
      </c>
      <c r="J15" s="93">
        <v>2.1182050404047192E-3</v>
      </c>
      <c r="K15" s="101">
        <v>-2.6100000000000301</v>
      </c>
      <c r="L15" s="102">
        <v>4.5271111329667768E-3</v>
      </c>
      <c r="M15" s="92">
        <v>-2.3600000000000301</v>
      </c>
      <c r="N15" s="93">
        <v>9.1374675305718744E-3</v>
      </c>
      <c r="O15" s="101">
        <v>-2.1100000000000398</v>
      </c>
      <c r="P15" s="102">
        <v>1.7429177937655416E-2</v>
      </c>
      <c r="Q15" s="92">
        <v>-1.8600000000000501</v>
      </c>
      <c r="R15" s="93">
        <v>3.1442762980749106E-2</v>
      </c>
      <c r="S15" s="101">
        <v>-1.6100000000000501</v>
      </c>
      <c r="T15" s="102">
        <v>5.3698928148114167E-2</v>
      </c>
    </row>
    <row r="16" spans="1:20" ht="14.7" customHeight="1" x14ac:dyDescent="0.3">
      <c r="A16" s="94">
        <v>-3.85</v>
      </c>
      <c r="B16" s="95">
        <v>5.9058912417753184E-5</v>
      </c>
      <c r="C16" s="103">
        <v>-3.6000000000000099</v>
      </c>
      <c r="D16" s="104">
        <v>1.5910859015766388E-4</v>
      </c>
      <c r="E16" s="94">
        <v>-3.3500000000000099</v>
      </c>
      <c r="F16" s="95">
        <v>4.0405780186447693E-4</v>
      </c>
      <c r="G16" s="103">
        <v>-3.1000000000000201</v>
      </c>
      <c r="H16" s="104">
        <v>9.6760321321842646E-4</v>
      </c>
      <c r="I16" s="94">
        <v>-2.8500000000000201</v>
      </c>
      <c r="J16" s="95">
        <v>2.1859614549131212E-3</v>
      </c>
      <c r="K16" s="103">
        <v>-2.6000000000000298</v>
      </c>
      <c r="L16" s="104">
        <v>4.6611880237181769E-3</v>
      </c>
      <c r="M16" s="94">
        <v>-2.3500000000000401</v>
      </c>
      <c r="N16" s="95">
        <v>9.3867055348375583E-3</v>
      </c>
      <c r="O16" s="103">
        <v>-2.1000000000000401</v>
      </c>
      <c r="P16" s="104">
        <v>1.7864420562814898E-2</v>
      </c>
      <c r="Q16" s="94">
        <v>-1.85000000000005</v>
      </c>
      <c r="R16" s="95">
        <v>3.2156774795610077E-2</v>
      </c>
      <c r="S16" s="103">
        <v>-1.60000000000005</v>
      </c>
      <c r="T16" s="104">
        <v>5.4799291699552444E-2</v>
      </c>
    </row>
    <row r="17" spans="1:23" ht="14.7" customHeight="1" x14ac:dyDescent="0.35">
      <c r="A17" s="92">
        <v>-3.84</v>
      </c>
      <c r="B17" s="93">
        <v>6.1517155187540418E-5</v>
      </c>
      <c r="C17" s="101">
        <v>-3.5900000000000101</v>
      </c>
      <c r="D17" s="102">
        <v>1.6533898071924291E-4</v>
      </c>
      <c r="E17" s="92">
        <v>-3.3400000000000101</v>
      </c>
      <c r="F17" s="93">
        <v>4.188919494504395E-4</v>
      </c>
      <c r="G17" s="101">
        <v>-3.0900000000000198</v>
      </c>
      <c r="H17" s="102">
        <v>1.0007824766138373E-3</v>
      </c>
      <c r="I17" s="92">
        <v>-2.8400000000000198</v>
      </c>
      <c r="J17" s="93">
        <v>2.2556766915422521E-3</v>
      </c>
      <c r="K17" s="101">
        <v>-2.5900000000000301</v>
      </c>
      <c r="L17" s="102">
        <v>4.7987965971255653E-3</v>
      </c>
      <c r="M17" s="92">
        <v>-2.3400000000000398</v>
      </c>
      <c r="N17" s="93">
        <v>9.6418699453574286E-3</v>
      </c>
      <c r="O17" s="101">
        <v>-2.0900000000000398</v>
      </c>
      <c r="P17" s="102">
        <v>1.8308899851657179E-2</v>
      </c>
      <c r="Q17" s="92">
        <v>-1.84000000000005</v>
      </c>
      <c r="R17" s="93">
        <v>3.2884118659160189E-2</v>
      </c>
      <c r="S17" s="101">
        <v>-1.59000000000005</v>
      </c>
      <c r="T17" s="102">
        <v>5.5917402519463866E-2</v>
      </c>
    </row>
    <row r="18" spans="1:23" ht="14.7" customHeight="1" x14ac:dyDescent="0.3">
      <c r="A18" s="94">
        <v>-3.83</v>
      </c>
      <c r="B18" s="95">
        <v>6.4071629491735393E-5</v>
      </c>
      <c r="C18" s="103">
        <v>-3.5800000000000098</v>
      </c>
      <c r="D18" s="104">
        <v>1.7179710374737311E-4</v>
      </c>
      <c r="E18" s="94">
        <v>-3.3300000000000098</v>
      </c>
      <c r="F18" s="95">
        <v>4.3422992038189001E-4</v>
      </c>
      <c r="G18" s="103">
        <v>-3.0800000000000201</v>
      </c>
      <c r="H18" s="104">
        <v>1.0350029748023015E-3</v>
      </c>
      <c r="I18" s="94">
        <v>-2.8300000000000201</v>
      </c>
      <c r="J18" s="95">
        <v>2.3274002067315003E-3</v>
      </c>
      <c r="K18" s="103">
        <v>-2.5800000000000298</v>
      </c>
      <c r="L18" s="104">
        <v>4.9400157577702553E-3</v>
      </c>
      <c r="M18" s="94">
        <v>-2.33000000000004</v>
      </c>
      <c r="N18" s="95">
        <v>9.9030755591631436E-3</v>
      </c>
      <c r="O18" s="103">
        <v>-2.08000000000004</v>
      </c>
      <c r="P18" s="104">
        <v>1.8762766434935907E-2</v>
      </c>
      <c r="Q18" s="94">
        <v>-1.83000000000005</v>
      </c>
      <c r="R18" s="95">
        <v>3.3624969419624673E-2</v>
      </c>
      <c r="S18" s="103">
        <v>-1.58000000000005</v>
      </c>
      <c r="T18" s="104">
        <v>5.7053433237748474E-2</v>
      </c>
    </row>
    <row r="19" spans="1:23" ht="14.7" customHeight="1" x14ac:dyDescent="0.35">
      <c r="A19" s="92">
        <v>-3.82</v>
      </c>
      <c r="B19" s="93">
        <v>6.6725837028380752E-5</v>
      </c>
      <c r="C19" s="101">
        <v>-3.5700000000000101</v>
      </c>
      <c r="D19" s="102">
        <v>1.7849061390440291E-4</v>
      </c>
      <c r="E19" s="92">
        <v>-3.3200000000000101</v>
      </c>
      <c r="F19" s="93">
        <v>4.5008724059214522E-4</v>
      </c>
      <c r="G19" s="101">
        <v>-3.0700000000000198</v>
      </c>
      <c r="H19" s="102">
        <v>1.0702938546790497E-3</v>
      </c>
      <c r="I19" s="92">
        <v>-2.82000000000003</v>
      </c>
      <c r="J19" s="93">
        <v>2.4011824741889676E-3</v>
      </c>
      <c r="K19" s="101">
        <v>-2.57000000000003</v>
      </c>
      <c r="L19" s="102">
        <v>5.0849257489904431E-3</v>
      </c>
      <c r="M19" s="92">
        <v>-2.3200000000000398</v>
      </c>
      <c r="N19" s="93">
        <v>1.0170438668718695E-2</v>
      </c>
      <c r="O19" s="101">
        <v>-2.0700000000000398</v>
      </c>
      <c r="P19" s="102">
        <v>1.9226172227515548E-2</v>
      </c>
      <c r="Q19" s="92">
        <v>-1.82000000000005</v>
      </c>
      <c r="R19" s="93">
        <v>3.4379502445886279E-2</v>
      </c>
      <c r="S19" s="101">
        <v>-1.57000000000005</v>
      </c>
      <c r="T19" s="102">
        <v>5.8207555638547182E-2</v>
      </c>
    </row>
    <row r="20" spans="1:23" ht="14.7" customHeight="1" x14ac:dyDescent="0.3">
      <c r="A20" s="94">
        <v>-3.81</v>
      </c>
      <c r="B20" s="95">
        <v>6.9483395879865739E-5</v>
      </c>
      <c r="C20" s="103">
        <v>-3.5600000000000098</v>
      </c>
      <c r="D20" s="104">
        <v>1.8542739693327981E-4</v>
      </c>
      <c r="E20" s="94">
        <v>-3.31000000000002</v>
      </c>
      <c r="F20" s="95">
        <v>4.6647985610703824E-4</v>
      </c>
      <c r="G20" s="103">
        <v>-3.06000000000002</v>
      </c>
      <c r="H20" s="104">
        <v>1.1066849574089543E-3</v>
      </c>
      <c r="I20" s="94">
        <v>-2.8100000000000298</v>
      </c>
      <c r="J20" s="95">
        <v>2.4770749987856888E-3</v>
      </c>
      <c r="K20" s="103">
        <v>-2.5600000000000298</v>
      </c>
      <c r="L20" s="104">
        <v>5.2336081635553366E-3</v>
      </c>
      <c r="M20" s="94">
        <v>-2.31000000000004</v>
      </c>
      <c r="N20" s="95">
        <v>1.044407706194983E-2</v>
      </c>
      <c r="O20" s="103">
        <v>-2.06000000000004</v>
      </c>
      <c r="P20" s="104">
        <v>1.9699270409375025E-2</v>
      </c>
      <c r="Q20" s="94">
        <v>-1.81000000000005</v>
      </c>
      <c r="R20" s="95">
        <v>3.5147893584034917E-2</v>
      </c>
      <c r="S20" s="103">
        <v>-1.56000000000005</v>
      </c>
      <c r="T20" s="104">
        <v>5.9379940594787239E-2</v>
      </c>
    </row>
    <row r="21" spans="1:23" ht="14.7" customHeight="1" x14ac:dyDescent="0.35">
      <c r="A21" s="92">
        <v>-3.8</v>
      </c>
      <c r="B21" s="93">
        <v>7.2348043924419514E-5</v>
      </c>
      <c r="C21" s="101">
        <v>-3.55000000000001</v>
      </c>
      <c r="D21" s="102">
        <v>1.9261557563510223E-4</v>
      </c>
      <c r="E21" s="92">
        <v>-3.30000000000001</v>
      </c>
      <c r="F21" s="93">
        <v>4.8342414238389253E-4</v>
      </c>
      <c r="G21" s="101">
        <v>-3.0500000000000198</v>
      </c>
      <c r="H21" s="102">
        <v>1.1442068310228981E-3</v>
      </c>
      <c r="I21" s="92">
        <v>-2.80000000000003</v>
      </c>
      <c r="J21" s="93">
        <v>2.5551303304277573E-3</v>
      </c>
      <c r="K21" s="101">
        <v>-2.55000000000003</v>
      </c>
      <c r="L21" s="102">
        <v>5.3861459540662793E-3</v>
      </c>
      <c r="M21" s="92">
        <v>-2.3000000000000398</v>
      </c>
      <c r="N21" s="93">
        <v>1.0724110021674838E-2</v>
      </c>
      <c r="O21" s="101">
        <v>-2.0500000000000398</v>
      </c>
      <c r="P21" s="102">
        <v>2.018221540570253E-2</v>
      </c>
      <c r="Q21" s="92">
        <v>-1.80000000000005</v>
      </c>
      <c r="R21" s="93">
        <v>3.5930319112921882E-2</v>
      </c>
      <c r="S21" s="101">
        <v>-1.55000000000005</v>
      </c>
      <c r="T21" s="102">
        <v>6.0570758002052916E-2</v>
      </c>
    </row>
    <row r="22" spans="1:23" ht="14.7" customHeight="1" x14ac:dyDescent="0.3">
      <c r="A22" s="94">
        <v>-3.79</v>
      </c>
      <c r="B22" s="95">
        <v>7.5323642380720202E-5</v>
      </c>
      <c r="C22" s="103">
        <v>-3.5400000000000098</v>
      </c>
      <c r="D22" s="104">
        <v>2.0006351600643235E-4</v>
      </c>
      <c r="E22" s="94">
        <v>-3.29000000000002</v>
      </c>
      <c r="F22" s="95">
        <v>5.0093691378516603E-4</v>
      </c>
      <c r="G22" s="103">
        <v>-3.04000000000002</v>
      </c>
      <c r="H22" s="104">
        <v>1.1828907431046254E-3</v>
      </c>
      <c r="I22" s="94">
        <v>-2.7900000000000298</v>
      </c>
      <c r="J22" s="95">
        <v>2.6354020779046916E-3</v>
      </c>
      <c r="K22" s="103">
        <v>-2.5400000000000298</v>
      </c>
      <c r="L22" s="104">
        <v>5.5426234430819843E-3</v>
      </c>
      <c r="M22" s="94">
        <v>-2.29000000000004</v>
      </c>
      <c r="N22" s="95">
        <v>1.1010658324410283E-2</v>
      </c>
      <c r="O22" s="103">
        <v>-2.04000000000004</v>
      </c>
      <c r="P22" s="104">
        <v>2.0675162866068186E-2</v>
      </c>
      <c r="Q22" s="94">
        <v>-1.79000000000005</v>
      </c>
      <c r="R22" s="95">
        <v>3.6726955698722197E-2</v>
      </c>
      <c r="S22" s="103">
        <v>-1.54000000000005</v>
      </c>
      <c r="T22" s="104">
        <v>6.1780176711805801E-2</v>
      </c>
    </row>
    <row r="23" spans="1:23" ht="14.7" customHeight="1" x14ac:dyDescent="0.35">
      <c r="A23" s="92">
        <v>-3.78000000000001</v>
      </c>
      <c r="B23" s="93">
        <v>7.8414179385033478E-5</v>
      </c>
      <c r="C23" s="101">
        <v>-3.53000000000001</v>
      </c>
      <c r="D23" s="102">
        <v>2.0777983347897155E-4</v>
      </c>
      <c r="E23" s="92">
        <v>-3.28000000000001</v>
      </c>
      <c r="F23" s="93">
        <v>5.1903543320697132E-4</v>
      </c>
      <c r="G23" s="101">
        <v>-3.0300000000000198</v>
      </c>
      <c r="H23" s="102">
        <v>1.2227686935922799E-3</v>
      </c>
      <c r="I23" s="92">
        <v>-2.78000000000003</v>
      </c>
      <c r="J23" s="93">
        <v>2.7179449227008323E-3</v>
      </c>
      <c r="K23" s="101">
        <v>-2.53000000000003</v>
      </c>
      <c r="L23" s="102">
        <v>5.7031263329501147E-3</v>
      </c>
      <c r="M23" s="92">
        <v>-2.2800000000000402</v>
      </c>
      <c r="N23" s="93">
        <v>1.1303844238551575E-2</v>
      </c>
      <c r="O23" s="101">
        <v>-2.0300000000000402</v>
      </c>
      <c r="P23" s="102">
        <v>2.1178269642670333E-2</v>
      </c>
      <c r="Q23" s="92">
        <v>-1.78000000000005</v>
      </c>
      <c r="R23" s="93">
        <v>3.7537980348512745E-2</v>
      </c>
      <c r="S23" s="101">
        <v>-1.53000000000005</v>
      </c>
      <c r="T23" s="102">
        <v>6.3008364463972288E-2</v>
      </c>
    </row>
    <row r="24" spans="1:23" ht="14.7" customHeight="1" x14ac:dyDescent="0.3">
      <c r="A24" s="94">
        <v>-3.77</v>
      </c>
      <c r="B24" s="95">
        <v>8.1623773704464497E-5</v>
      </c>
      <c r="C24" s="103">
        <v>-3.5200000000000098</v>
      </c>
      <c r="D24" s="104">
        <v>2.1577339929468309E-4</v>
      </c>
      <c r="E24" s="94">
        <v>-3.27000000000002</v>
      </c>
      <c r="F24" s="95">
        <v>5.3773742182949835E-4</v>
      </c>
      <c r="G24" s="103">
        <v>-3.02000000000002</v>
      </c>
      <c r="H24" s="104">
        <v>1.263873427672535E-3</v>
      </c>
      <c r="I24" s="94">
        <v>-2.7700000000000302</v>
      </c>
      <c r="J24" s="95">
        <v>2.8028146327648829E-3</v>
      </c>
      <c r="K24" s="103">
        <v>-2.5200000000000302</v>
      </c>
      <c r="L24" s="104">
        <v>5.8677417153321088E-3</v>
      </c>
      <c r="M24" s="94">
        <v>-2.27000000000004</v>
      </c>
      <c r="N24" s="95">
        <v>1.1603791521902274E-2</v>
      </c>
      <c r="O24" s="103">
        <v>-2.02000000000004</v>
      </c>
      <c r="P24" s="104">
        <v>2.1691693767644793E-2</v>
      </c>
      <c r="Q24" s="94">
        <v>-1.77000000000005</v>
      </c>
      <c r="R24" s="95">
        <v>3.8363570362867194E-2</v>
      </c>
      <c r="S24" s="103">
        <v>-1.52000000000005</v>
      </c>
      <c r="T24" s="104">
        <v>6.4255487818929646E-2</v>
      </c>
    </row>
    <row r="25" spans="1:23" ht="14.7" customHeight="1" x14ac:dyDescent="0.35">
      <c r="A25" s="92">
        <v>-3.76000000000001</v>
      </c>
      <c r="B25" s="93">
        <v>8.4956678498393501E-5</v>
      </c>
      <c r="C25" s="101">
        <v>-3.51000000000001</v>
      </c>
      <c r="D25" s="102">
        <v>2.2405334699060475E-4</v>
      </c>
      <c r="E25" s="92">
        <v>-3.2600000000000202</v>
      </c>
      <c r="F25" s="93">
        <v>5.5706106902486674E-4</v>
      </c>
      <c r="G25" s="101">
        <v>-3.0100000000000202</v>
      </c>
      <c r="H25" s="102">
        <v>1.3062384487695367E-3</v>
      </c>
      <c r="I25" s="92">
        <v>-2.76000000000003</v>
      </c>
      <c r="J25" s="93">
        <v>2.8900680762259379E-3</v>
      </c>
      <c r="K25" s="101">
        <v>-2.51000000000003</v>
      </c>
      <c r="L25" s="102">
        <v>6.0365580804120356E-3</v>
      </c>
      <c r="M25" s="92">
        <v>-2.2600000000000402</v>
      </c>
      <c r="N25" s="93">
        <v>1.1910625418545928E-2</v>
      </c>
      <c r="O25" s="101">
        <v>-2.0100000000000402</v>
      </c>
      <c r="P25" s="102">
        <v>2.2215594429429553E-2</v>
      </c>
      <c r="Q25" s="92">
        <v>-1.76000000000005</v>
      </c>
      <c r="R25" s="93">
        <v>3.920390328747847E-2</v>
      </c>
      <c r="S25" s="101">
        <v>-1.51000000000005</v>
      </c>
      <c r="T25" s="102">
        <v>6.5521712088910222E-2</v>
      </c>
    </row>
    <row r="26" spans="1:23" ht="14.7" customHeight="1" thickBot="1" x14ac:dyDescent="0.35">
      <c r="A26" s="96">
        <v>-3.75</v>
      </c>
      <c r="B26" s="97">
        <v>8.8417285201369822E-5</v>
      </c>
      <c r="C26" s="105">
        <v>-3.5000000000000102</v>
      </c>
      <c r="D26" s="106">
        <v>2.3262907903431884E-4</v>
      </c>
      <c r="E26" s="96">
        <v>-3.25000000000002</v>
      </c>
      <c r="F26" s="97">
        <v>5.7702504239109942E-4</v>
      </c>
      <c r="G26" s="105">
        <v>-3.00000000000002</v>
      </c>
      <c r="H26" s="106">
        <v>1.3498980316297704E-3</v>
      </c>
      <c r="I26" s="96">
        <v>-2.7500000000000302</v>
      </c>
      <c r="J26" s="97">
        <v>2.9797632350544445E-3</v>
      </c>
      <c r="K26" s="105">
        <v>-2.5000000000000302</v>
      </c>
      <c r="L26" s="106">
        <v>6.209665325775493E-3</v>
      </c>
      <c r="M26" s="96">
        <v>-2.25000000000004</v>
      </c>
      <c r="N26" s="97">
        <v>1.2224472655043339E-2</v>
      </c>
      <c r="O26" s="105">
        <v>-2.00000000000004</v>
      </c>
      <c r="P26" s="106">
        <v>2.2750131948177099E-2</v>
      </c>
      <c r="Q26" s="96">
        <v>-1.75000000000005</v>
      </c>
      <c r="R26" s="97">
        <v>4.0059156863812673E-2</v>
      </c>
      <c r="S26" s="105">
        <v>-1.50000000000005</v>
      </c>
      <c r="T26" s="106">
        <v>6.6807201268851646E-2</v>
      </c>
    </row>
    <row r="27" spans="1:23" ht="14.7" customHeight="1" thickBot="1" x14ac:dyDescent="0.35">
      <c r="A27" s="84"/>
      <c r="B27" s="85"/>
      <c r="C27" s="86"/>
      <c r="D27" s="86"/>
      <c r="E27" s="86"/>
      <c r="F27" s="86"/>
      <c r="G27" s="86"/>
      <c r="H27" s="86"/>
      <c r="I27" s="86"/>
      <c r="J27" s="86"/>
      <c r="K27" s="86"/>
      <c r="L27" s="86"/>
      <c r="M27" s="86"/>
      <c r="N27" s="86"/>
      <c r="O27" s="86"/>
      <c r="P27" s="86"/>
      <c r="Q27" s="86"/>
      <c r="R27" s="86"/>
      <c r="S27" s="86"/>
      <c r="T27" s="87"/>
    </row>
    <row r="28" spans="1:23" x14ac:dyDescent="0.3">
      <c r="A28" s="90">
        <v>-1.49000000000005</v>
      </c>
      <c r="B28" s="91">
        <v>6.8112117966718788E-2</v>
      </c>
      <c r="C28" s="90">
        <v>-1.2400000000000599</v>
      </c>
      <c r="D28" s="98">
        <v>0.10748769707457573</v>
      </c>
      <c r="E28" s="90">
        <v>-0.99000000000006005</v>
      </c>
      <c r="F28" s="91">
        <v>0.16108705951081626</v>
      </c>
      <c r="G28" s="90">
        <v>-0.74000000000006005</v>
      </c>
      <c r="H28" s="91">
        <v>0.22964999716477241</v>
      </c>
      <c r="I28" s="90">
        <v>-0.490000000000059</v>
      </c>
      <c r="J28" s="91">
        <v>0.31206694941736968</v>
      </c>
      <c r="K28" s="90">
        <v>-0.240000000000059</v>
      </c>
      <c r="L28" s="91">
        <v>0.40516512830218132</v>
      </c>
      <c r="M28" s="90">
        <v>0.01</v>
      </c>
      <c r="N28" s="91">
        <v>0.5039893563146316</v>
      </c>
      <c r="O28" s="76">
        <v>0.26</v>
      </c>
      <c r="P28" s="75">
        <v>0.60256811320176051</v>
      </c>
      <c r="Q28" s="90">
        <v>0.51</v>
      </c>
      <c r="R28" s="91">
        <v>0.6949742691024805</v>
      </c>
      <c r="S28" s="90">
        <v>0.76</v>
      </c>
      <c r="T28" s="91">
        <v>0.77637270756240051</v>
      </c>
      <c r="W28">
        <f>1/1.65</f>
        <v>0.60606060606060608</v>
      </c>
    </row>
    <row r="29" spans="1:23" ht="16.2" x14ac:dyDescent="0.35">
      <c r="A29" s="92">
        <v>-1.4800000000000499</v>
      </c>
      <c r="B29" s="93">
        <v>6.943662333332512E-2</v>
      </c>
      <c r="C29" s="101">
        <v>-1.2300000000000599</v>
      </c>
      <c r="D29" s="107">
        <v>0.10934855242568076</v>
      </c>
      <c r="E29" s="92">
        <v>-0.98000000000006005</v>
      </c>
      <c r="F29" s="93">
        <v>0.16354305932767765</v>
      </c>
      <c r="G29" s="101">
        <v>-0.73000000000006005</v>
      </c>
      <c r="H29" s="102">
        <v>0.23269509230087915</v>
      </c>
      <c r="I29" s="92">
        <v>-0.48000000000005899</v>
      </c>
      <c r="J29" s="93">
        <v>0.31561369651620164</v>
      </c>
      <c r="K29" s="101">
        <v>-0.23000000000005899</v>
      </c>
      <c r="L29" s="102">
        <v>0.40904588485797122</v>
      </c>
      <c r="M29" s="92">
        <v>0.02</v>
      </c>
      <c r="N29" s="93">
        <v>0.50797831371690194</v>
      </c>
      <c r="O29" s="110">
        <v>0.27</v>
      </c>
      <c r="P29" s="107">
        <v>0.60641987319803947</v>
      </c>
      <c r="Q29" s="92">
        <v>0.52</v>
      </c>
      <c r="R29" s="93">
        <v>0.69846821245303381</v>
      </c>
      <c r="S29" s="101">
        <v>0.77</v>
      </c>
      <c r="T29" s="102">
        <v>0.77935005365735033</v>
      </c>
    </row>
    <row r="30" spans="1:23" x14ac:dyDescent="0.3">
      <c r="A30" s="94">
        <v>-1.4700000000000499</v>
      </c>
      <c r="B30" s="95">
        <v>7.0780876991678787E-2</v>
      </c>
      <c r="C30" s="103">
        <v>-1.2200000000000599</v>
      </c>
      <c r="D30" s="108">
        <v>0.11123243744782341</v>
      </c>
      <c r="E30" s="94">
        <v>-0.97000000000006004</v>
      </c>
      <c r="F30" s="95">
        <v>0.16602324606351471</v>
      </c>
      <c r="G30" s="103">
        <v>-0.72000000000006004</v>
      </c>
      <c r="H30" s="104">
        <v>0.23576249777923275</v>
      </c>
      <c r="I30" s="94">
        <v>-0.47000000000005898</v>
      </c>
      <c r="J30" s="95">
        <v>0.31917750878253481</v>
      </c>
      <c r="K30" s="103">
        <v>-0.22000000000005901</v>
      </c>
      <c r="L30" s="104">
        <v>0.41293557735176245</v>
      </c>
      <c r="M30" s="94">
        <v>0.03</v>
      </c>
      <c r="N30" s="95">
        <v>0.51196647341411261</v>
      </c>
      <c r="O30" s="111">
        <v>0.28000000000000003</v>
      </c>
      <c r="P30" s="108">
        <v>0.61026124755579725</v>
      </c>
      <c r="Q30" s="94">
        <v>0.53</v>
      </c>
      <c r="R30" s="95">
        <v>0.70194403460512356</v>
      </c>
      <c r="S30" s="103">
        <v>0.78</v>
      </c>
      <c r="T30" s="104">
        <v>0.78230456241426682</v>
      </c>
    </row>
    <row r="31" spans="1:23" ht="16.2" x14ac:dyDescent="0.35">
      <c r="A31" s="92">
        <v>-1.4600000000000499</v>
      </c>
      <c r="B31" s="93">
        <v>7.2145036965887033E-2</v>
      </c>
      <c r="C31" s="101">
        <v>-1.2100000000000599</v>
      </c>
      <c r="D31" s="107">
        <v>0.11313944644396579</v>
      </c>
      <c r="E31" s="92">
        <v>-0.96000000000006003</v>
      </c>
      <c r="F31" s="93">
        <v>0.16852760746682272</v>
      </c>
      <c r="G31" s="101">
        <v>-0.71000000000006003</v>
      </c>
      <c r="H31" s="102">
        <v>0.23885206808996817</v>
      </c>
      <c r="I31" s="92">
        <v>-0.46000000000005897</v>
      </c>
      <c r="J31" s="93">
        <v>0.32275811025032664</v>
      </c>
      <c r="K31" s="101">
        <v>-0.210000000000059</v>
      </c>
      <c r="L31" s="102">
        <v>0.41683383651753469</v>
      </c>
      <c r="M31" s="92">
        <v>0.04</v>
      </c>
      <c r="N31" s="93">
        <v>0.51595343685283079</v>
      </c>
      <c r="O31" s="110">
        <v>0.28999999999999998</v>
      </c>
      <c r="P31" s="107">
        <v>0.61409188119887737</v>
      </c>
      <c r="Q31" s="92">
        <v>0.54</v>
      </c>
      <c r="R31" s="93">
        <v>0.7054014837843019</v>
      </c>
      <c r="S31" s="101">
        <v>0.79</v>
      </c>
      <c r="T31" s="102">
        <v>0.78523611583636299</v>
      </c>
    </row>
    <row r="32" spans="1:23" x14ac:dyDescent="0.3">
      <c r="A32" s="94">
        <v>-1.4500000000000499</v>
      </c>
      <c r="B32" s="95">
        <v>7.3529259609641517E-2</v>
      </c>
      <c r="C32" s="103">
        <v>-1.2000000000000599</v>
      </c>
      <c r="D32" s="108">
        <v>0.11506967022169667</v>
      </c>
      <c r="E32" s="94">
        <v>-0.95000000000006002</v>
      </c>
      <c r="F32" s="95">
        <v>0.17105612630846656</v>
      </c>
      <c r="G32" s="103">
        <v>-0.70000000000006002</v>
      </c>
      <c r="H32" s="104">
        <v>0.24196365222305427</v>
      </c>
      <c r="I32" s="94">
        <v>-0.45000000000005902</v>
      </c>
      <c r="J32" s="95">
        <v>0.32635522028789876</v>
      </c>
      <c r="K32" s="103">
        <v>-0.20000000000005899</v>
      </c>
      <c r="L32" s="104">
        <v>0.42074029056087392</v>
      </c>
      <c r="M32" s="94">
        <v>0.05</v>
      </c>
      <c r="N32" s="95">
        <v>0.51993880583837249</v>
      </c>
      <c r="O32" s="111">
        <v>0.3</v>
      </c>
      <c r="P32" s="108">
        <v>0.61791142218895256</v>
      </c>
      <c r="Q32" s="94">
        <v>0.55000000000000004</v>
      </c>
      <c r="R32" s="95">
        <v>0.70884031321165364</v>
      </c>
      <c r="S32" s="103">
        <v>0.8</v>
      </c>
      <c r="T32" s="104">
        <v>0.78814460141660325</v>
      </c>
    </row>
    <row r="33" spans="1:20" ht="16.2" x14ac:dyDescent="0.35">
      <c r="A33" s="92">
        <v>-1.4400000000000499</v>
      </c>
      <c r="B33" s="93">
        <v>7.4933699534319942E-2</v>
      </c>
      <c r="C33" s="101">
        <v>-1.1900000000000599</v>
      </c>
      <c r="D33" s="107">
        <v>0.11702319602309708</v>
      </c>
      <c r="E33" s="92">
        <v>-0.94000000000006001</v>
      </c>
      <c r="F33" s="93">
        <v>0.17360878033860927</v>
      </c>
      <c r="G33" s="101">
        <v>-0.69000000000006001</v>
      </c>
      <c r="H33" s="102">
        <v>0.24509709367429056</v>
      </c>
      <c r="I33" s="92">
        <v>-0.44000000000005901</v>
      </c>
      <c r="J33" s="93">
        <v>0.32996855366057232</v>
      </c>
      <c r="K33" s="101">
        <v>-0.19000000000005901</v>
      </c>
      <c r="L33" s="102">
        <v>0.42465456526518142</v>
      </c>
      <c r="M33" s="92">
        <v>0.06</v>
      </c>
      <c r="N33" s="93">
        <v>0.52392218265410684</v>
      </c>
      <c r="O33" s="110">
        <v>0.31</v>
      </c>
      <c r="P33" s="107">
        <v>0.62171952182201928</v>
      </c>
      <c r="Q33" s="92">
        <v>0.56000000000000005</v>
      </c>
      <c r="R33" s="93">
        <v>0.71226028115097295</v>
      </c>
      <c r="S33" s="101">
        <v>0.81</v>
      </c>
      <c r="T33" s="102">
        <v>0.79102991212839835</v>
      </c>
    </row>
    <row r="34" spans="1:20" x14ac:dyDescent="0.3">
      <c r="A34" s="94">
        <v>-1.4300000000000499</v>
      </c>
      <c r="B34" s="95">
        <v>7.6358509536731956E-2</v>
      </c>
      <c r="C34" s="103">
        <v>-1.1800000000000599</v>
      </c>
      <c r="D34" s="108">
        <v>0.11900010745518885</v>
      </c>
      <c r="E34" s="94">
        <v>-0.93000000000006</v>
      </c>
      <c r="F34" s="95">
        <v>0.17618554224524241</v>
      </c>
      <c r="G34" s="103">
        <v>-0.68000000000006</v>
      </c>
      <c r="H34" s="104">
        <v>0.2482522304535516</v>
      </c>
      <c r="I34" s="94">
        <v>-0.430000000000059</v>
      </c>
      <c r="J34" s="95">
        <v>0.33359782059543619</v>
      </c>
      <c r="K34" s="103">
        <v>-0.180000000000059</v>
      </c>
      <c r="L34" s="104">
        <v>0.42857628409907611</v>
      </c>
      <c r="M34" s="94">
        <v>7.0000000000000007E-2</v>
      </c>
      <c r="N34" s="95">
        <v>0.52790317018052113</v>
      </c>
      <c r="O34" s="111">
        <v>0.32</v>
      </c>
      <c r="P34" s="108">
        <v>0.62551583472332006</v>
      </c>
      <c r="Q34" s="94">
        <v>0.56999999999999995</v>
      </c>
      <c r="R34" s="95">
        <v>0.71566115095367577</v>
      </c>
      <c r="S34" s="103">
        <v>0.82</v>
      </c>
      <c r="T34" s="104">
        <v>0.79389194641418692</v>
      </c>
    </row>
    <row r="35" spans="1:20" ht="16.2" x14ac:dyDescent="0.35">
      <c r="A35" s="92">
        <v>-1.4200000000000501</v>
      </c>
      <c r="B35" s="93">
        <v>7.7803840526539103E-2</v>
      </c>
      <c r="C35" s="101">
        <v>-1.1700000000000601</v>
      </c>
      <c r="D35" s="107">
        <v>0.12100048442100619</v>
      </c>
      <c r="E35" s="92">
        <v>-0.92000000000005999</v>
      </c>
      <c r="F35" s="93">
        <v>0.17878637961435606</v>
      </c>
      <c r="G35" s="101">
        <v>-0.67000000000005999</v>
      </c>
      <c r="H35" s="102">
        <v>0.25142889509529098</v>
      </c>
      <c r="I35" s="92">
        <v>-0.42000000000005899</v>
      </c>
      <c r="J35" s="93">
        <v>0.33724272684822798</v>
      </c>
      <c r="K35" s="101">
        <v>-0.17000000000005899</v>
      </c>
      <c r="L35" s="102">
        <v>0.4325050683249384</v>
      </c>
      <c r="M35" s="92">
        <v>0.08</v>
      </c>
      <c r="N35" s="93">
        <v>0.53188137201398733</v>
      </c>
      <c r="O35" s="110">
        <v>0.33</v>
      </c>
      <c r="P35" s="107">
        <v>0.62930001894065346</v>
      </c>
      <c r="Q35" s="92">
        <v>0.57999999999999996</v>
      </c>
      <c r="R35" s="93">
        <v>0.71904269110143559</v>
      </c>
      <c r="S35" s="101">
        <v>0.83</v>
      </c>
      <c r="T35" s="102">
        <v>0.79673060817193153</v>
      </c>
    </row>
    <row r="36" spans="1:20" x14ac:dyDescent="0.3">
      <c r="A36" s="94">
        <v>-1.4100000000000601</v>
      </c>
      <c r="B36" s="95">
        <v>7.926984145338356E-2</v>
      </c>
      <c r="C36" s="103">
        <v>-1.1600000000000601</v>
      </c>
      <c r="D36" s="108">
        <v>0.12302440305133122</v>
      </c>
      <c r="E36" s="94">
        <v>-0.91000000000005998</v>
      </c>
      <c r="F36" s="95">
        <v>0.18141125489178145</v>
      </c>
      <c r="G36" s="103">
        <v>-0.66000000000005998</v>
      </c>
      <c r="H36" s="104">
        <v>0.25462691467131693</v>
      </c>
      <c r="I36" s="94">
        <v>-0.41000000000005898</v>
      </c>
      <c r="J36" s="95">
        <v>0.34090297377230094</v>
      </c>
      <c r="K36" s="103">
        <v>-0.16000000000005901</v>
      </c>
      <c r="L36" s="104">
        <v>0.43644053710854391</v>
      </c>
      <c r="M36" s="94">
        <v>0.09</v>
      </c>
      <c r="N36" s="95">
        <v>0.53585639258517215</v>
      </c>
      <c r="O36" s="111">
        <v>0.34</v>
      </c>
      <c r="P36" s="108">
        <v>0.63307173603602807</v>
      </c>
      <c r="Q36" s="94">
        <v>0.59</v>
      </c>
      <c r="R36" s="95">
        <v>0.72240467524653507</v>
      </c>
      <c r="S36" s="103">
        <v>0.84</v>
      </c>
      <c r="T36" s="104">
        <v>0.79954580673955022</v>
      </c>
    </row>
    <row r="37" spans="1:20" ht="16.2" x14ac:dyDescent="0.35">
      <c r="A37" s="92">
        <v>-1.4000000000000601</v>
      </c>
      <c r="B37" s="93">
        <v>8.0756659233762074E-2</v>
      </c>
      <c r="C37" s="101">
        <v>-1.1500000000000601</v>
      </c>
      <c r="D37" s="107">
        <v>0.12507193563713792</v>
      </c>
      <c r="E37" s="92">
        <v>-0.90000000000005997</v>
      </c>
      <c r="F37" s="93">
        <v>0.18406012534674354</v>
      </c>
      <c r="G37" s="101">
        <v>-0.65000000000005997</v>
      </c>
      <c r="H37" s="102">
        <v>0.25784611080584541</v>
      </c>
      <c r="I37" s="92">
        <v>-0.40000000000005898</v>
      </c>
      <c r="J37" s="93">
        <v>0.34457825838965417</v>
      </c>
      <c r="K37" s="101">
        <v>-0.150000000000059</v>
      </c>
      <c r="L37" s="102">
        <v>0.44038230762973418</v>
      </c>
      <c r="M37" s="92">
        <v>0.1</v>
      </c>
      <c r="N37" s="93">
        <v>0.53982783727702899</v>
      </c>
      <c r="O37" s="110">
        <v>0.35</v>
      </c>
      <c r="P37" s="107">
        <v>0.63683065117561899</v>
      </c>
      <c r="Q37" s="92">
        <v>0.6</v>
      </c>
      <c r="R37" s="93">
        <v>0.72574688224992634</v>
      </c>
      <c r="S37" s="101">
        <v>0.85</v>
      </c>
      <c r="T37" s="102">
        <v>0.80233745687730762</v>
      </c>
    </row>
    <row r="38" spans="1:20" x14ac:dyDescent="0.3">
      <c r="A38" s="94">
        <v>-1.3900000000000601</v>
      </c>
      <c r="B38" s="95">
        <v>8.2264438677659868E-2</v>
      </c>
      <c r="C38" s="103">
        <v>-1.1400000000000601</v>
      </c>
      <c r="D38" s="108">
        <v>0.1271431505627858</v>
      </c>
      <c r="E38" s="94">
        <v>-0.89000000000005997</v>
      </c>
      <c r="F38" s="95">
        <v>0.18673294303715648</v>
      </c>
      <c r="G38" s="103">
        <v>-0.64000000000005997</v>
      </c>
      <c r="H38" s="104">
        <v>0.26108629969284203</v>
      </c>
      <c r="I38" s="94">
        <v>-0.39000000000005902</v>
      </c>
      <c r="J38" s="95">
        <v>0.3482682734639958</v>
      </c>
      <c r="K38" s="103">
        <v>-0.14000000000005899</v>
      </c>
      <c r="L38" s="104">
        <v>0.44432999519407024</v>
      </c>
      <c r="M38" s="94">
        <v>0.11</v>
      </c>
      <c r="N38" s="95">
        <v>0.54379531254231683</v>
      </c>
      <c r="O38" s="111">
        <v>0.36</v>
      </c>
      <c r="P38" s="108">
        <v>0.64057643321799118</v>
      </c>
      <c r="Q38" s="94">
        <v>0.61</v>
      </c>
      <c r="R38" s="95">
        <v>0.72906909621699434</v>
      </c>
      <c r="S38" s="103">
        <v>0.86</v>
      </c>
      <c r="T38" s="104">
        <v>0.80510547874819149</v>
      </c>
    </row>
    <row r="39" spans="1:20" ht="16.2" x14ac:dyDescent="0.35">
      <c r="A39" s="92">
        <v>-1.3800000000000601</v>
      </c>
      <c r="B39" s="93">
        <v>8.3793322415004923E-2</v>
      </c>
      <c r="C39" s="101">
        <v>-1.1300000000000601</v>
      </c>
      <c r="D39" s="107">
        <v>0.12923811224000514</v>
      </c>
      <c r="E39" s="92">
        <v>-0.88000000000005996</v>
      </c>
      <c r="F39" s="93">
        <v>0.18942965477669593</v>
      </c>
      <c r="G39" s="101">
        <v>-0.63000000000005996</v>
      </c>
      <c r="H39" s="102">
        <v>0.26434729211565799</v>
      </c>
      <c r="I39" s="92">
        <v>-0.38000000000005901</v>
      </c>
      <c r="J39" s="93">
        <v>0.35197270757581534</v>
      </c>
      <c r="K39" s="101">
        <v>-0.13000000000005901</v>
      </c>
      <c r="L39" s="102">
        <v>0.44828321334541554</v>
      </c>
      <c r="M39" s="92">
        <v>0.12</v>
      </c>
      <c r="N39" s="93">
        <v>0.54775842602058389</v>
      </c>
      <c r="O39" s="110">
        <v>0.37</v>
      </c>
      <c r="P39" s="107">
        <v>0.64430875480054683</v>
      </c>
      <c r="Q39" s="92">
        <v>0.62</v>
      </c>
      <c r="R39" s="93">
        <v>0.732371106531017</v>
      </c>
      <c r="S39" s="101">
        <v>0.87</v>
      </c>
      <c r="T39" s="102">
        <v>0.80784979789630385</v>
      </c>
    </row>
    <row r="40" spans="1:20" x14ac:dyDescent="0.3">
      <c r="A40" s="94">
        <v>-1.3700000000000601</v>
      </c>
      <c r="B40" s="95">
        <v>8.5343450821957711E-2</v>
      </c>
      <c r="C40" s="103">
        <v>-1.1200000000000601</v>
      </c>
      <c r="D40" s="108">
        <v>0.13135688104271781</v>
      </c>
      <c r="E40" s="94">
        <v>-0.87000000000005995</v>
      </c>
      <c r="F40" s="95">
        <v>0.19215020210367972</v>
      </c>
      <c r="G40" s="103">
        <v>-0.62000000000005995</v>
      </c>
      <c r="H40" s="104">
        <v>0.26762889346896324</v>
      </c>
      <c r="I40" s="94">
        <v>-0.370000000000059</v>
      </c>
      <c r="J40" s="95">
        <v>0.35569124519943118</v>
      </c>
      <c r="K40" s="103">
        <v>-0.120000000000059</v>
      </c>
      <c r="L40" s="104">
        <v>0.4522415739793928</v>
      </c>
      <c r="M40" s="94">
        <v>0.13</v>
      </c>
      <c r="N40" s="95">
        <v>0.55171678665456114</v>
      </c>
      <c r="O40" s="111">
        <v>0.38</v>
      </c>
      <c r="P40" s="108">
        <v>0.64802729242416279</v>
      </c>
      <c r="Q40" s="94">
        <v>0.63</v>
      </c>
      <c r="R40" s="95">
        <v>0.73565270788432247</v>
      </c>
      <c r="S40" s="103">
        <v>0.88</v>
      </c>
      <c r="T40" s="104">
        <v>0.81057034522328786</v>
      </c>
    </row>
    <row r="41" spans="1:20" ht="16.2" x14ac:dyDescent="0.35">
      <c r="A41" s="92">
        <v>-1.36000000000006</v>
      </c>
      <c r="B41" s="93">
        <v>8.6914961947075486E-2</v>
      </c>
      <c r="C41" s="101">
        <v>-1.11000000000006</v>
      </c>
      <c r="D41" s="107">
        <v>0.13349951324273435</v>
      </c>
      <c r="E41" s="92">
        <v>-0.86000000000006005</v>
      </c>
      <c r="F41" s="93">
        <v>0.19489452125179185</v>
      </c>
      <c r="G41" s="101">
        <v>-0.61000000000006005</v>
      </c>
      <c r="H41" s="102">
        <v>0.27093090378298579</v>
      </c>
      <c r="I41" s="92">
        <v>-0.360000000000059</v>
      </c>
      <c r="J41" s="93">
        <v>0.35942356678198673</v>
      </c>
      <c r="K41" s="101">
        <v>-0.110000000000059</v>
      </c>
      <c r="L41" s="102">
        <v>0.45620468745765985</v>
      </c>
      <c r="M41" s="92">
        <v>0.14000000000000001</v>
      </c>
      <c r="N41" s="93">
        <v>0.55567000480590645</v>
      </c>
      <c r="O41" s="110">
        <v>0.39</v>
      </c>
      <c r="P41" s="107">
        <v>0.65173172653598244</v>
      </c>
      <c r="Q41" s="92">
        <v>0.64</v>
      </c>
      <c r="R41" s="93">
        <v>0.73891370030713843</v>
      </c>
      <c r="S41" s="101">
        <v>0.89</v>
      </c>
      <c r="T41" s="102">
        <v>0.81326705696282731</v>
      </c>
    </row>
    <row r="42" spans="1:20" x14ac:dyDescent="0.3">
      <c r="A42" s="94">
        <v>-1.35000000000006</v>
      </c>
      <c r="B42" s="95">
        <v>8.8507991437392297E-2</v>
      </c>
      <c r="C42" s="103">
        <v>-1.10000000000006</v>
      </c>
      <c r="D42" s="108">
        <v>0.13566606094636957</v>
      </c>
      <c r="E42" s="94">
        <v>-0.85000000000006004</v>
      </c>
      <c r="F42" s="95">
        <v>0.19766254312267562</v>
      </c>
      <c r="G42" s="103">
        <v>-0.60000000000006004</v>
      </c>
      <c r="H42" s="104">
        <v>0.27425311775005357</v>
      </c>
      <c r="I42" s="94">
        <v>-0.35000000000005899</v>
      </c>
      <c r="J42" s="95">
        <v>0.36316934882435881</v>
      </c>
      <c r="K42" s="103">
        <v>-0.100000000000059</v>
      </c>
      <c r="L42" s="104">
        <v>0.46017216272294759</v>
      </c>
      <c r="M42" s="94">
        <v>0.15</v>
      </c>
      <c r="N42" s="95">
        <v>0.5596176923702425</v>
      </c>
      <c r="O42" s="111">
        <v>0.4</v>
      </c>
      <c r="P42" s="108">
        <v>0.65542174161032418</v>
      </c>
      <c r="Q42" s="94">
        <v>0.65</v>
      </c>
      <c r="R42" s="95">
        <v>0.74215388919413527</v>
      </c>
      <c r="S42" s="103">
        <v>0.9</v>
      </c>
      <c r="T42" s="104">
        <v>0.81593987465324047</v>
      </c>
    </row>
    <row r="43" spans="1:20" ht="16.2" x14ac:dyDescent="0.35">
      <c r="A43" s="92">
        <v>-1.34000000000006</v>
      </c>
      <c r="B43" s="93">
        <v>9.012267246444261E-2</v>
      </c>
      <c r="C43" s="101">
        <v>-1.09000000000006</v>
      </c>
      <c r="D43" s="107">
        <v>0.13785657203202228</v>
      </c>
      <c r="E43" s="92">
        <v>-0.84000000000006003</v>
      </c>
      <c r="F43" s="93">
        <v>0.2004541932604329</v>
      </c>
      <c r="G43" s="101">
        <v>-0.59000000000006003</v>
      </c>
      <c r="H43" s="102">
        <v>0.27759532475344484</v>
      </c>
      <c r="I43" s="92">
        <v>-0.34000000000005898</v>
      </c>
      <c r="J43" s="93">
        <v>0.36692826396394973</v>
      </c>
      <c r="K43" s="101">
        <v>-9.0000000000059005E-2</v>
      </c>
      <c r="L43" s="102">
        <v>0.46414360741480443</v>
      </c>
      <c r="M43" s="92">
        <v>0.16</v>
      </c>
      <c r="N43" s="93">
        <v>0.56355946289143288</v>
      </c>
      <c r="O43" s="110">
        <v>0.41</v>
      </c>
      <c r="P43" s="107">
        <v>0.65909702622767741</v>
      </c>
      <c r="Q43" s="92">
        <v>0.66</v>
      </c>
      <c r="R43" s="93">
        <v>0.74537308532866386</v>
      </c>
      <c r="S43" s="101">
        <v>0.91</v>
      </c>
      <c r="T43" s="102">
        <v>0.81858874510820279</v>
      </c>
    </row>
    <row r="44" spans="1:20" x14ac:dyDescent="0.3">
      <c r="A44" s="94">
        <v>-1.33000000000006</v>
      </c>
      <c r="B44" s="95">
        <v>9.175913565027094E-2</v>
      </c>
      <c r="C44" s="103">
        <v>-1.08000000000006</v>
      </c>
      <c r="D44" s="108">
        <v>0.14007109008875573</v>
      </c>
      <c r="E44" s="94">
        <v>-0.83000000000006002</v>
      </c>
      <c r="F44" s="95">
        <v>0.20326939182805148</v>
      </c>
      <c r="G44" s="103">
        <v>-0.58000000000006002</v>
      </c>
      <c r="H44" s="104">
        <v>0.28095730889854409</v>
      </c>
      <c r="I44" s="94">
        <v>-0.33000000000005902</v>
      </c>
      <c r="J44" s="95">
        <v>0.37069998105932422</v>
      </c>
      <c r="K44" s="103">
        <v>-8.0000000000058996E-2</v>
      </c>
      <c r="L44" s="104">
        <v>0.46811862798598913</v>
      </c>
      <c r="M44" s="94">
        <v>0.17</v>
      </c>
      <c r="N44" s="95">
        <v>0.56749493167503839</v>
      </c>
      <c r="O44" s="111">
        <v>0.42</v>
      </c>
      <c r="P44" s="108">
        <v>0.66275727315175048</v>
      </c>
      <c r="Q44" s="94">
        <v>0.67</v>
      </c>
      <c r="R44" s="95">
        <v>0.74857110490468992</v>
      </c>
      <c r="S44" s="103">
        <v>0.92</v>
      </c>
      <c r="T44" s="104">
        <v>0.82121362038562817</v>
      </c>
    </row>
    <row r="45" spans="1:20" ht="16.2" x14ac:dyDescent="0.35">
      <c r="A45" s="92">
        <v>-1.32000000000006</v>
      </c>
      <c r="B45" s="93">
        <v>9.3417508993461795E-2</v>
      </c>
      <c r="C45" s="101">
        <v>-1.07000000000006</v>
      </c>
      <c r="D45" s="107">
        <v>0.14230965435592591</v>
      </c>
      <c r="E45" s="92">
        <v>-0.82000000000006001</v>
      </c>
      <c r="F45" s="93">
        <v>0.20610805358579598</v>
      </c>
      <c r="G45" s="101">
        <v>-0.57000000000006001</v>
      </c>
      <c r="H45" s="102">
        <v>0.28433884904630391</v>
      </c>
      <c r="I45" s="92">
        <v>-0.32000000000005902</v>
      </c>
      <c r="J45" s="93">
        <v>0.37448416527665762</v>
      </c>
      <c r="K45" s="101">
        <v>-7.0000000000059001E-2</v>
      </c>
      <c r="L45" s="102">
        <v>0.47209682981945544</v>
      </c>
      <c r="M45" s="92">
        <v>0.18</v>
      </c>
      <c r="N45" s="93">
        <v>0.57142371590090069</v>
      </c>
      <c r="O45" s="110">
        <v>0.43</v>
      </c>
      <c r="P45" s="107">
        <v>0.66640217940454227</v>
      </c>
      <c r="Q45" s="92">
        <v>0.68</v>
      </c>
      <c r="R45" s="93">
        <v>0.75174776954642941</v>
      </c>
      <c r="S45" s="101">
        <v>0.93</v>
      </c>
      <c r="T45" s="102">
        <v>0.82381445775474205</v>
      </c>
    </row>
    <row r="46" spans="1:20" x14ac:dyDescent="0.3">
      <c r="A46" s="94">
        <v>-1.31000000000006</v>
      </c>
      <c r="B46" s="95">
        <v>9.5097917795228915E-2</v>
      </c>
      <c r="C46" s="103">
        <v>-1.06000000000006</v>
      </c>
      <c r="D46" s="108">
        <v>0.14457229966389595</v>
      </c>
      <c r="E46" s="94">
        <v>-0.81000000000006001</v>
      </c>
      <c r="F46" s="95">
        <v>0.20897008787158433</v>
      </c>
      <c r="G46" s="103">
        <v>-0.56000000000006001</v>
      </c>
      <c r="H46" s="104">
        <v>0.28773971884900651</v>
      </c>
      <c r="I46" s="94">
        <v>-0.31000000000005901</v>
      </c>
      <c r="J46" s="95">
        <v>0.37828047817795829</v>
      </c>
      <c r="K46" s="103">
        <v>-6.0000000000058999E-2</v>
      </c>
      <c r="L46" s="104">
        <v>0.47607781734586962</v>
      </c>
      <c r="M46" s="94">
        <v>0.19</v>
      </c>
      <c r="N46" s="95">
        <v>0.57534543473479549</v>
      </c>
      <c r="O46" s="111">
        <v>0.44</v>
      </c>
      <c r="P46" s="108">
        <v>0.67003144633940637</v>
      </c>
      <c r="Q46" s="94">
        <v>0.69</v>
      </c>
      <c r="R46" s="95">
        <v>0.75490290632569057</v>
      </c>
      <c r="S46" s="103">
        <v>0.94</v>
      </c>
      <c r="T46" s="104">
        <v>0.8263912196613753</v>
      </c>
    </row>
    <row r="47" spans="1:20" ht="16.2" x14ac:dyDescent="0.35">
      <c r="A47" s="92">
        <v>-1.30000000000006</v>
      </c>
      <c r="B47" s="93">
        <v>9.6800484585600088E-2</v>
      </c>
      <c r="C47" s="101">
        <v>-1.05000000000006</v>
      </c>
      <c r="D47" s="107">
        <v>0.14685905637588226</v>
      </c>
      <c r="E47" s="92">
        <v>-0.80000000000006</v>
      </c>
      <c r="F47" s="93">
        <v>0.21185539858337932</v>
      </c>
      <c r="G47" s="101">
        <v>-0.55000000000006</v>
      </c>
      <c r="H47" s="102">
        <v>0.29115968678832571</v>
      </c>
      <c r="I47" s="92">
        <v>-0.300000000000059</v>
      </c>
      <c r="J47" s="93">
        <v>0.3820885778110249</v>
      </c>
      <c r="K47" s="101">
        <v>-5.0000000000058997E-2</v>
      </c>
      <c r="L47" s="102">
        <v>0.48006119416160398</v>
      </c>
      <c r="M47" s="92">
        <v>0.2</v>
      </c>
      <c r="N47" s="93">
        <v>0.57925970943910299</v>
      </c>
      <c r="O47" s="110">
        <v>0.45</v>
      </c>
      <c r="P47" s="107">
        <v>0.67364477971207992</v>
      </c>
      <c r="Q47" s="92">
        <v>0.7</v>
      </c>
      <c r="R47" s="93">
        <v>0.75803634777692697</v>
      </c>
      <c r="S47" s="101">
        <v>0.95</v>
      </c>
      <c r="T47" s="102">
        <v>0.82894387369151812</v>
      </c>
    </row>
    <row r="48" spans="1:20" x14ac:dyDescent="0.3">
      <c r="A48" s="94">
        <v>-1.29000000000006</v>
      </c>
      <c r="B48" s="95">
        <v>9.8525329049737431E-2</v>
      </c>
      <c r="C48" s="103">
        <v>-1.04000000000006</v>
      </c>
      <c r="D48" s="108">
        <v>0.14916995033096736</v>
      </c>
      <c r="E48" s="94">
        <v>-0.79000000000005999</v>
      </c>
      <c r="F48" s="95">
        <v>0.21476388416361958</v>
      </c>
      <c r="G48" s="103">
        <v>-0.54000000000005999</v>
      </c>
      <c r="H48" s="104">
        <v>0.29459851621567745</v>
      </c>
      <c r="I48" s="94">
        <v>-0.29000000000005899</v>
      </c>
      <c r="J48" s="95">
        <v>0.3859081188011001</v>
      </c>
      <c r="K48" s="103">
        <v>-4.0000000000059002E-2</v>
      </c>
      <c r="L48" s="104">
        <v>0.48404656314714567</v>
      </c>
      <c r="M48" s="94">
        <v>0.21</v>
      </c>
      <c r="N48" s="95">
        <v>0.58316616348244232</v>
      </c>
      <c r="O48" s="111">
        <v>0.46</v>
      </c>
      <c r="P48" s="108">
        <v>0.67724188974965216</v>
      </c>
      <c r="Q48" s="94">
        <v>0.71</v>
      </c>
      <c r="R48" s="95">
        <v>0.76114793191001329</v>
      </c>
      <c r="S48" s="103">
        <v>0.96</v>
      </c>
      <c r="T48" s="104">
        <v>0.83147239253316219</v>
      </c>
    </row>
    <row r="49" spans="1:20" ht="16.2" x14ac:dyDescent="0.35">
      <c r="A49" s="92">
        <v>-1.28000000000006</v>
      </c>
      <c r="B49" s="93">
        <v>0.10027256795443151</v>
      </c>
      <c r="C49" s="101">
        <v>-1.03000000000006</v>
      </c>
      <c r="D49" s="107">
        <v>0.15150500278832968</v>
      </c>
      <c r="E49" s="92">
        <v>-0.78000000000005998</v>
      </c>
      <c r="F49" s="93">
        <v>0.21769543758571563</v>
      </c>
      <c r="G49" s="101">
        <v>-0.53000000000005998</v>
      </c>
      <c r="H49" s="102">
        <v>0.29805596539485557</v>
      </c>
      <c r="I49" s="92">
        <v>-0.28000000000005898</v>
      </c>
      <c r="J49" s="93">
        <v>0.38973875244418021</v>
      </c>
      <c r="K49" s="101">
        <v>-3.0000000000059E-2</v>
      </c>
      <c r="L49" s="102">
        <v>0.48803352658586385</v>
      </c>
      <c r="M49" s="92">
        <v>0.22</v>
      </c>
      <c r="N49" s="93">
        <v>0.58706442264821468</v>
      </c>
      <c r="O49" s="110">
        <v>0.47</v>
      </c>
      <c r="P49" s="107">
        <v>0.6808224912174442</v>
      </c>
      <c r="Q49" s="92">
        <v>0.72</v>
      </c>
      <c r="R49" s="93">
        <v>0.76423750222074882</v>
      </c>
      <c r="S49" s="101">
        <v>0.97</v>
      </c>
      <c r="T49" s="102">
        <v>0.83397675393647042</v>
      </c>
    </row>
    <row r="50" spans="1:20" x14ac:dyDescent="0.3">
      <c r="A50" s="94">
        <v>-1.27000000000006</v>
      </c>
      <c r="B50" s="95">
        <v>0.10204231507480843</v>
      </c>
      <c r="C50" s="103">
        <v>-1.02000000000006</v>
      </c>
      <c r="D50" s="108">
        <v>0.15386423037272068</v>
      </c>
      <c r="E50" s="94">
        <v>-0.77000000000005997</v>
      </c>
      <c r="F50" s="95">
        <v>0.22064994634263191</v>
      </c>
      <c r="G50" s="103">
        <v>-0.52000000000005897</v>
      </c>
      <c r="H50" s="104">
        <v>0.30153178754694565</v>
      </c>
      <c r="I50" s="94">
        <v>-0.27000000000005903</v>
      </c>
      <c r="J50" s="95">
        <v>0.39358012680193777</v>
      </c>
      <c r="K50" s="103">
        <v>-2.0000000000058998E-2</v>
      </c>
      <c r="L50" s="104">
        <v>0.49202168628307452</v>
      </c>
      <c r="M50" s="94">
        <v>0.23</v>
      </c>
      <c r="N50" s="95">
        <v>0.59095411514200591</v>
      </c>
      <c r="O50" s="111">
        <v>0.48</v>
      </c>
      <c r="P50" s="108">
        <v>0.68438630348377738</v>
      </c>
      <c r="Q50" s="94">
        <v>0.73</v>
      </c>
      <c r="R50" s="95">
        <v>0.76730490769910253</v>
      </c>
      <c r="S50" s="103">
        <v>0.98</v>
      </c>
      <c r="T50" s="104">
        <v>0.83645694067230747</v>
      </c>
    </row>
    <row r="51" spans="1:20" ht="16.2" x14ac:dyDescent="0.35">
      <c r="A51" s="92">
        <v>-1.26000000000006</v>
      </c>
      <c r="B51" s="93">
        <v>0.10383468112128968</v>
      </c>
      <c r="C51" s="101">
        <v>-1.01000000000006</v>
      </c>
      <c r="D51" s="107">
        <v>0.15624764502124022</v>
      </c>
      <c r="E51" s="92">
        <v>-0.76000000000005996</v>
      </c>
      <c r="F51" s="93">
        <v>0.22362729243758162</v>
      </c>
      <c r="G51" s="101">
        <v>-0.51000000000005896</v>
      </c>
      <c r="H51" s="102">
        <v>0.30502573089749874</v>
      </c>
      <c r="I51" s="92">
        <v>-0.26000000000005902</v>
      </c>
      <c r="J51" s="93">
        <v>0.39743188679821673</v>
      </c>
      <c r="K51" s="101">
        <v>-1.0000000000059E-2</v>
      </c>
      <c r="L51" s="102">
        <v>0.49601064368534487</v>
      </c>
      <c r="M51" s="92">
        <v>0.24</v>
      </c>
      <c r="N51" s="93">
        <v>0.59483487169779581</v>
      </c>
      <c r="O51" s="110">
        <v>0.49</v>
      </c>
      <c r="P51" s="107">
        <v>0.68793305058260945</v>
      </c>
      <c r="Q51" s="92">
        <v>0.74</v>
      </c>
      <c r="R51" s="93">
        <v>0.77035000283520938</v>
      </c>
      <c r="S51" s="101">
        <v>0.99</v>
      </c>
      <c r="T51" s="102">
        <v>0.83891294048916909</v>
      </c>
    </row>
    <row r="52" spans="1:20" ht="16.2" thickBot="1" x14ac:dyDescent="0.35">
      <c r="A52" s="96">
        <v>-1.25000000000006</v>
      </c>
      <c r="B52" s="97">
        <v>0.10564977366684425</v>
      </c>
      <c r="C52" s="105">
        <v>-1.00000000000006</v>
      </c>
      <c r="D52" s="109">
        <v>0.15865525393144253</v>
      </c>
      <c r="E52" s="96">
        <v>-0.75000000000005995</v>
      </c>
      <c r="F52" s="97">
        <v>0.22662735237685028</v>
      </c>
      <c r="G52" s="105">
        <v>-0.50000000000005895</v>
      </c>
      <c r="H52" s="106">
        <v>0.30853753872596612</v>
      </c>
      <c r="I52" s="96">
        <v>-0.25000000000005901</v>
      </c>
      <c r="J52" s="97">
        <v>0.40129367431705343</v>
      </c>
      <c r="K52" s="105">
        <v>0</v>
      </c>
      <c r="L52" s="106">
        <v>0.5</v>
      </c>
      <c r="M52" s="96">
        <v>0.25</v>
      </c>
      <c r="N52" s="97">
        <v>0.5987063256829237</v>
      </c>
      <c r="O52" s="112">
        <v>0.5</v>
      </c>
      <c r="P52" s="109">
        <v>0.69146246127401312</v>
      </c>
      <c r="Q52" s="96">
        <v>0.75</v>
      </c>
      <c r="R52" s="97">
        <v>0.77337264762313174</v>
      </c>
      <c r="S52" s="105">
        <v>1</v>
      </c>
      <c r="T52" s="106">
        <v>0.84134474606854293</v>
      </c>
    </row>
    <row r="53" spans="1:20" ht="16.2" thickBot="1" x14ac:dyDescent="0.35">
      <c r="A53" s="118"/>
      <c r="B53" s="119"/>
      <c r="C53" s="113"/>
      <c r="D53" s="113"/>
      <c r="E53" s="113"/>
      <c r="F53" s="113"/>
      <c r="G53" s="113"/>
      <c r="H53" s="113"/>
      <c r="I53" s="113"/>
      <c r="J53" s="113"/>
      <c r="K53" s="113"/>
      <c r="L53" s="113"/>
      <c r="M53" s="113"/>
      <c r="N53" s="113"/>
      <c r="O53" s="113"/>
      <c r="P53" s="113"/>
      <c r="Q53" s="113"/>
      <c r="R53" s="113"/>
      <c r="S53" s="113"/>
      <c r="T53" s="115"/>
    </row>
    <row r="54" spans="1:20" x14ac:dyDescent="0.3">
      <c r="A54" s="90">
        <v>1.01</v>
      </c>
      <c r="B54" s="91">
        <v>0.84375235497874534</v>
      </c>
      <c r="C54" s="117">
        <v>1.26</v>
      </c>
      <c r="D54" s="122">
        <v>0.89616531887869955</v>
      </c>
      <c r="E54" s="90">
        <v>1.51</v>
      </c>
      <c r="F54" s="91">
        <v>0.93447828791108356</v>
      </c>
      <c r="G54" s="117">
        <v>1.76</v>
      </c>
      <c r="H54" s="122">
        <v>0.96079609671251731</v>
      </c>
      <c r="I54" s="90">
        <v>2.0099999999999998</v>
      </c>
      <c r="J54" s="91">
        <v>0.97778440557056834</v>
      </c>
      <c r="K54" s="117">
        <v>2.2599999999999998</v>
      </c>
      <c r="L54" s="122">
        <v>0.98808937458145296</v>
      </c>
      <c r="M54" s="90">
        <v>2.5099999999999998</v>
      </c>
      <c r="N54" s="91">
        <v>0.99396344191958752</v>
      </c>
      <c r="O54" s="117">
        <v>2.76</v>
      </c>
      <c r="P54" s="122">
        <v>0.99710993192377406</v>
      </c>
      <c r="Q54" s="90">
        <v>3.01</v>
      </c>
      <c r="R54" s="91">
        <v>0.99869376155123057</v>
      </c>
      <c r="S54" s="117">
        <v>3.26</v>
      </c>
      <c r="T54" s="100">
        <v>0.99944293893097602</v>
      </c>
    </row>
    <row r="55" spans="1:20" ht="16.2" x14ac:dyDescent="0.35">
      <c r="A55" s="92">
        <v>1.02</v>
      </c>
      <c r="B55" s="93">
        <v>0.84613576962726511</v>
      </c>
      <c r="C55" s="110">
        <v>1.27</v>
      </c>
      <c r="D55" s="107">
        <v>0.89795768492518091</v>
      </c>
      <c r="E55" s="92">
        <v>1.52</v>
      </c>
      <c r="F55" s="93">
        <v>0.93574451218106414</v>
      </c>
      <c r="G55" s="110">
        <v>1.77</v>
      </c>
      <c r="H55" s="107">
        <v>0.96163642963712859</v>
      </c>
      <c r="I55" s="92">
        <v>2.02</v>
      </c>
      <c r="J55" s="93">
        <v>0.97830830623235299</v>
      </c>
      <c r="K55" s="110">
        <v>2.27</v>
      </c>
      <c r="L55" s="107">
        <v>0.98839620847809651</v>
      </c>
      <c r="M55" s="92">
        <v>2.52</v>
      </c>
      <c r="N55" s="93">
        <v>0.99413225828466745</v>
      </c>
      <c r="O55" s="110">
        <v>2.77</v>
      </c>
      <c r="P55" s="107">
        <v>0.99719718536723501</v>
      </c>
      <c r="Q55" s="92">
        <v>3.02</v>
      </c>
      <c r="R55" s="93">
        <v>0.99873612657232791</v>
      </c>
      <c r="S55" s="110">
        <v>3.27</v>
      </c>
      <c r="T55" s="102">
        <v>0.99946226257817039</v>
      </c>
    </row>
    <row r="56" spans="1:20" x14ac:dyDescent="0.3">
      <c r="A56" s="94">
        <v>1.03</v>
      </c>
      <c r="B56" s="95">
        <v>0.84849499721165622</v>
      </c>
      <c r="C56" s="111">
        <v>1.28</v>
      </c>
      <c r="D56" s="108">
        <v>0.89972743204555794</v>
      </c>
      <c r="E56" s="94">
        <v>1.53</v>
      </c>
      <c r="F56" s="95">
        <v>0.93699163553602149</v>
      </c>
      <c r="G56" s="111">
        <v>1.78</v>
      </c>
      <c r="H56" s="108">
        <v>0.96246201965148315</v>
      </c>
      <c r="I56" s="94">
        <v>2.0299999999999998</v>
      </c>
      <c r="J56" s="95">
        <v>0.97882173035732767</v>
      </c>
      <c r="K56" s="111">
        <v>2.2799999999999998</v>
      </c>
      <c r="L56" s="108">
        <v>0.98869615576144709</v>
      </c>
      <c r="M56" s="94">
        <v>2.5299999999999998</v>
      </c>
      <c r="N56" s="95">
        <v>0.99429687366704944</v>
      </c>
      <c r="O56" s="111">
        <v>2.78</v>
      </c>
      <c r="P56" s="108">
        <v>0.9972820550772985</v>
      </c>
      <c r="Q56" s="94">
        <v>3.03</v>
      </c>
      <c r="R56" s="95">
        <v>0.99877723130640783</v>
      </c>
      <c r="S56" s="111">
        <v>3.28</v>
      </c>
      <c r="T56" s="104">
        <v>0.99948096456679236</v>
      </c>
    </row>
    <row r="57" spans="1:20" ht="16.2" x14ac:dyDescent="0.35">
      <c r="A57" s="92">
        <v>1.04</v>
      </c>
      <c r="B57" s="93">
        <v>0.85083004966901865</v>
      </c>
      <c r="C57" s="110">
        <v>1.29</v>
      </c>
      <c r="D57" s="107">
        <v>0.90147467095025213</v>
      </c>
      <c r="E57" s="92">
        <v>1.54</v>
      </c>
      <c r="F57" s="93">
        <v>0.93821982328818798</v>
      </c>
      <c r="G57" s="110">
        <v>1.79</v>
      </c>
      <c r="H57" s="107">
        <v>0.96327304430127381</v>
      </c>
      <c r="I57" s="92">
        <v>2.04</v>
      </c>
      <c r="J57" s="93">
        <v>0.97932483713392982</v>
      </c>
      <c r="K57" s="110">
        <v>2.29</v>
      </c>
      <c r="L57" s="107">
        <v>0.98898934167558838</v>
      </c>
      <c r="M57" s="92">
        <v>2.54</v>
      </c>
      <c r="N57" s="93">
        <v>0.99445737655691757</v>
      </c>
      <c r="O57" s="110">
        <v>2.79</v>
      </c>
      <c r="P57" s="107">
        <v>0.99736459792209509</v>
      </c>
      <c r="Q57" s="92">
        <v>3.04</v>
      </c>
      <c r="R57" s="93">
        <v>0.9988171092568956</v>
      </c>
      <c r="S57" s="110">
        <v>3.29</v>
      </c>
      <c r="T57" s="102">
        <v>0.99949906308621417</v>
      </c>
    </row>
    <row r="58" spans="1:20" x14ac:dyDescent="0.3">
      <c r="A58" s="94">
        <v>1.05</v>
      </c>
      <c r="B58" s="95">
        <v>0.8531409436241042</v>
      </c>
      <c r="C58" s="111">
        <v>1.3</v>
      </c>
      <c r="D58" s="108">
        <v>0.9031995154143897</v>
      </c>
      <c r="E58" s="94">
        <v>1.55</v>
      </c>
      <c r="F58" s="95">
        <v>0.93942924199794109</v>
      </c>
      <c r="G58" s="111">
        <v>1.8</v>
      </c>
      <c r="H58" s="108">
        <v>0.96406968088707412</v>
      </c>
      <c r="I58" s="94">
        <v>2.0499999999999998</v>
      </c>
      <c r="J58" s="95">
        <v>0.97981778459429547</v>
      </c>
      <c r="K58" s="111">
        <v>2.2999999999999998</v>
      </c>
      <c r="L58" s="108">
        <v>0.98927588997832405</v>
      </c>
      <c r="M58" s="94">
        <v>2.5499999999999998</v>
      </c>
      <c r="N58" s="95">
        <v>0.99461385404593339</v>
      </c>
      <c r="O58" s="111">
        <v>2.8</v>
      </c>
      <c r="P58" s="108">
        <v>0.99744486966957213</v>
      </c>
      <c r="Q58" s="94">
        <v>3.05</v>
      </c>
      <c r="R58" s="95">
        <v>0.99885579316897721</v>
      </c>
      <c r="S58" s="111">
        <v>3.3</v>
      </c>
      <c r="T58" s="104">
        <v>0.99951657585761577</v>
      </c>
    </row>
    <row r="59" spans="1:20" ht="16.2" x14ac:dyDescent="0.35">
      <c r="A59" s="92">
        <v>1.06</v>
      </c>
      <c r="B59" s="93">
        <v>0.85542770033609039</v>
      </c>
      <c r="C59" s="110">
        <v>1.31</v>
      </c>
      <c r="D59" s="107">
        <v>0.90490208220476098</v>
      </c>
      <c r="E59" s="92">
        <v>1.56</v>
      </c>
      <c r="F59" s="93">
        <v>0.94062005940520699</v>
      </c>
      <c r="G59" s="110">
        <v>1.81</v>
      </c>
      <c r="H59" s="107">
        <v>0.96485210641596131</v>
      </c>
      <c r="I59" s="92">
        <v>2.06</v>
      </c>
      <c r="J59" s="93">
        <v>0.9803007295906232</v>
      </c>
      <c r="K59" s="110">
        <v>2.31</v>
      </c>
      <c r="L59" s="107">
        <v>0.98955592293804906</v>
      </c>
      <c r="M59" s="92">
        <v>2.56</v>
      </c>
      <c r="N59" s="93">
        <v>0.99476639183644422</v>
      </c>
      <c r="O59" s="110">
        <v>2.81</v>
      </c>
      <c r="P59" s="107">
        <v>0.99752292500121387</v>
      </c>
      <c r="Q59" s="92">
        <v>3.06</v>
      </c>
      <c r="R59" s="93">
        <v>0.99889331504259105</v>
      </c>
      <c r="S59" s="110">
        <v>3.31</v>
      </c>
      <c r="T59" s="102">
        <v>0.99953352014389174</v>
      </c>
    </row>
    <row r="60" spans="1:20" x14ac:dyDescent="0.3">
      <c r="A60" s="94">
        <v>1.07</v>
      </c>
      <c r="B60" s="95">
        <v>0.85769034564406066</v>
      </c>
      <c r="C60" s="111">
        <v>1.32</v>
      </c>
      <c r="D60" s="108">
        <v>0.9065824910065281</v>
      </c>
      <c r="E60" s="94">
        <v>1.57</v>
      </c>
      <c r="F60" s="95">
        <v>0.94179244436144693</v>
      </c>
      <c r="G60" s="111">
        <v>1.82</v>
      </c>
      <c r="H60" s="108">
        <v>0.96562049755411006</v>
      </c>
      <c r="I60" s="94">
        <v>2.0699999999999998</v>
      </c>
      <c r="J60" s="95">
        <v>0.98077382777248279</v>
      </c>
      <c r="K60" s="111">
        <v>2.3199999999999998</v>
      </c>
      <c r="L60" s="108">
        <v>0.98982956133128019</v>
      </c>
      <c r="M60" s="94">
        <v>2.57</v>
      </c>
      <c r="N60" s="95">
        <v>0.99491507425100889</v>
      </c>
      <c r="O60" s="111">
        <v>2.82</v>
      </c>
      <c r="P60" s="108">
        <v>0.99759881752581081</v>
      </c>
      <c r="Q60" s="94">
        <v>3.07</v>
      </c>
      <c r="R60" s="95">
        <v>0.99892970614532117</v>
      </c>
      <c r="S60" s="111">
        <v>3.32</v>
      </c>
      <c r="T60" s="104">
        <v>0.99954991275940763</v>
      </c>
    </row>
    <row r="61" spans="1:20" ht="16.2" x14ac:dyDescent="0.35">
      <c r="A61" s="92">
        <v>1.08</v>
      </c>
      <c r="B61" s="93">
        <v>0.85992890991123083</v>
      </c>
      <c r="C61" s="110">
        <v>1.33</v>
      </c>
      <c r="D61" s="107">
        <v>0.90824086434971918</v>
      </c>
      <c r="E61" s="92">
        <v>1.58</v>
      </c>
      <c r="F61" s="93">
        <v>0.94294656676224586</v>
      </c>
      <c r="G61" s="110">
        <v>1.83</v>
      </c>
      <c r="H61" s="107">
        <v>0.96637503058037166</v>
      </c>
      <c r="I61" s="92">
        <v>2.08</v>
      </c>
      <c r="J61" s="93">
        <v>0.98123723356506221</v>
      </c>
      <c r="K61" s="110">
        <v>2.33</v>
      </c>
      <c r="L61" s="107">
        <v>0.99009692444083575</v>
      </c>
      <c r="M61" s="92">
        <v>2.58</v>
      </c>
      <c r="N61" s="93">
        <v>0.99505998424222941</v>
      </c>
      <c r="O61" s="110">
        <v>2.83</v>
      </c>
      <c r="P61" s="107">
        <v>0.99767259979326828</v>
      </c>
      <c r="Q61" s="92">
        <v>3.08</v>
      </c>
      <c r="R61" s="93">
        <v>0.99896499702519703</v>
      </c>
      <c r="S61" s="110">
        <v>3.33</v>
      </c>
      <c r="T61" s="102">
        <v>0.99956577007961789</v>
      </c>
    </row>
    <row r="62" spans="1:20" x14ac:dyDescent="0.3">
      <c r="A62" s="94">
        <v>1.0900000000000001</v>
      </c>
      <c r="B62" s="95">
        <v>0.8621434279679645</v>
      </c>
      <c r="C62" s="111">
        <v>1.34</v>
      </c>
      <c r="D62" s="108">
        <v>0.90987732753554751</v>
      </c>
      <c r="E62" s="94">
        <v>1.59</v>
      </c>
      <c r="F62" s="95">
        <v>0.94408259748053047</v>
      </c>
      <c r="G62" s="111">
        <v>1.84</v>
      </c>
      <c r="H62" s="108">
        <v>0.96711588134083626</v>
      </c>
      <c r="I62" s="94">
        <v>2.09</v>
      </c>
      <c r="J62" s="95">
        <v>0.98169110014834104</v>
      </c>
      <c r="K62" s="111">
        <v>2.34</v>
      </c>
      <c r="L62" s="108">
        <v>0.99035813005464146</v>
      </c>
      <c r="M62" s="94">
        <v>2.59</v>
      </c>
      <c r="N62" s="95">
        <v>0.99520120340287366</v>
      </c>
      <c r="O62" s="111">
        <v>2.84</v>
      </c>
      <c r="P62" s="108">
        <v>0.99774432330845786</v>
      </c>
      <c r="Q62" s="94">
        <v>3.09</v>
      </c>
      <c r="R62" s="95">
        <v>0.99899921752338594</v>
      </c>
      <c r="S62" s="111">
        <v>3.34</v>
      </c>
      <c r="T62" s="104">
        <v>0.99958110805055034</v>
      </c>
    </row>
    <row r="63" spans="1:20" ht="16.2" x14ac:dyDescent="0.35">
      <c r="A63" s="92">
        <v>1.1000000000000001</v>
      </c>
      <c r="B63" s="93">
        <v>0.86433393905361733</v>
      </c>
      <c r="C63" s="110">
        <v>1.35</v>
      </c>
      <c r="D63" s="107">
        <v>0.91149200856259804</v>
      </c>
      <c r="E63" s="92">
        <v>1.6</v>
      </c>
      <c r="F63" s="93">
        <v>0.94520070830044201</v>
      </c>
      <c r="G63" s="110">
        <v>1.85</v>
      </c>
      <c r="H63" s="107">
        <v>0.96784322520438637</v>
      </c>
      <c r="I63" s="92">
        <v>2.1</v>
      </c>
      <c r="J63" s="93">
        <v>0.98213557943718355</v>
      </c>
      <c r="K63" s="110">
        <v>2.35</v>
      </c>
      <c r="L63" s="107">
        <v>0.99061329446516144</v>
      </c>
      <c r="M63" s="92">
        <v>2.6</v>
      </c>
      <c r="N63" s="93">
        <v>0.99533881197628127</v>
      </c>
      <c r="O63" s="110">
        <v>2.85</v>
      </c>
      <c r="P63" s="107">
        <v>0.99781403854508666</v>
      </c>
      <c r="Q63" s="92">
        <v>3.1</v>
      </c>
      <c r="R63" s="93">
        <v>0.9990323967867818</v>
      </c>
      <c r="S63" s="110">
        <v>3.35</v>
      </c>
      <c r="T63" s="102">
        <v>0.99959594219813575</v>
      </c>
    </row>
    <row r="64" spans="1:20" x14ac:dyDescent="0.3">
      <c r="A64" s="94">
        <v>1.1100000000000001</v>
      </c>
      <c r="B64" s="95">
        <v>0.86650048675725277</v>
      </c>
      <c r="C64" s="111">
        <v>1.36</v>
      </c>
      <c r="D64" s="108">
        <v>0.91308503805291497</v>
      </c>
      <c r="E64" s="94">
        <v>1.61</v>
      </c>
      <c r="F64" s="95">
        <v>0.94630107185188028</v>
      </c>
      <c r="G64" s="111">
        <v>1.86</v>
      </c>
      <c r="H64" s="108">
        <v>0.96855723701924734</v>
      </c>
      <c r="I64" s="94">
        <v>2.11</v>
      </c>
      <c r="J64" s="95">
        <v>0.98257082206234281</v>
      </c>
      <c r="K64" s="111">
        <v>2.36</v>
      </c>
      <c r="L64" s="108">
        <v>0.99086253246942713</v>
      </c>
      <c r="M64" s="94">
        <v>2.61</v>
      </c>
      <c r="N64" s="95">
        <v>0.99547288886703256</v>
      </c>
      <c r="O64" s="111">
        <v>2.86</v>
      </c>
      <c r="P64" s="108">
        <v>0.99788179495959528</v>
      </c>
      <c r="Q64" s="94">
        <v>3.11</v>
      </c>
      <c r="R64" s="95">
        <v>0.99906456328048621</v>
      </c>
      <c r="S64" s="111">
        <v>3.36</v>
      </c>
      <c r="T64" s="104">
        <v>0.9996102876374181</v>
      </c>
    </row>
    <row r="65" spans="1:20" ht="16.2" x14ac:dyDescent="0.35">
      <c r="A65" s="92">
        <v>1.1200000000000001</v>
      </c>
      <c r="B65" s="93">
        <v>0.86864311895726942</v>
      </c>
      <c r="C65" s="110">
        <v>1.37</v>
      </c>
      <c r="D65" s="107">
        <v>0.91465654917803296</v>
      </c>
      <c r="E65" s="92">
        <v>1.62</v>
      </c>
      <c r="F65" s="93">
        <v>0.94738386154574794</v>
      </c>
      <c r="G65" s="110">
        <v>1.87</v>
      </c>
      <c r="H65" s="107">
        <v>0.96925809107053396</v>
      </c>
      <c r="I65" s="92">
        <v>2.12</v>
      </c>
      <c r="J65" s="93">
        <v>0.98299697735236702</v>
      </c>
      <c r="K65" s="110">
        <v>2.37</v>
      </c>
      <c r="L65" s="107">
        <v>0.99110595736966289</v>
      </c>
      <c r="M65" s="92">
        <v>2.62</v>
      </c>
      <c r="N65" s="93">
        <v>0.99560351165187855</v>
      </c>
      <c r="O65" s="110">
        <v>2.87</v>
      </c>
      <c r="P65" s="107">
        <v>0.99794764100506039</v>
      </c>
      <c r="Q65" s="92">
        <v>3.12</v>
      </c>
      <c r="R65" s="93">
        <v>0.99909574480017804</v>
      </c>
      <c r="S65" s="110">
        <v>3.37</v>
      </c>
      <c r="T65" s="102">
        <v>0.99962415908160041</v>
      </c>
    </row>
    <row r="66" spans="1:20" x14ac:dyDescent="0.3">
      <c r="A66" s="94">
        <v>1.1299999999999999</v>
      </c>
      <c r="B66" s="95">
        <v>0.87076188775998231</v>
      </c>
      <c r="C66" s="111">
        <v>1.38</v>
      </c>
      <c r="D66" s="108">
        <v>0.91620667758498575</v>
      </c>
      <c r="E66" s="94">
        <v>1.63</v>
      </c>
      <c r="F66" s="95">
        <v>0.94844925150991055</v>
      </c>
      <c r="G66" s="111">
        <v>1.88</v>
      </c>
      <c r="H66" s="108">
        <v>0.96994596103880015</v>
      </c>
      <c r="I66" s="94">
        <v>2.13</v>
      </c>
      <c r="J66" s="95">
        <v>0.9834141933163949</v>
      </c>
      <c r="K66" s="111">
        <v>2.38</v>
      </c>
      <c r="L66" s="108">
        <v>0.99134368097448333</v>
      </c>
      <c r="M66" s="94">
        <v>2.63</v>
      </c>
      <c r="N66" s="95">
        <v>0.99573075659091081</v>
      </c>
      <c r="O66" s="111">
        <v>2.88</v>
      </c>
      <c r="P66" s="108">
        <v>0.9980116241451058</v>
      </c>
      <c r="Q66" s="94">
        <v>3.13</v>
      </c>
      <c r="R66" s="95">
        <v>0.9991259684843683</v>
      </c>
      <c r="S66" s="111">
        <v>3.38</v>
      </c>
      <c r="T66" s="104">
        <v>0.99963757085096749</v>
      </c>
    </row>
    <row r="67" spans="1:20" ht="16.2" x14ac:dyDescent="0.35">
      <c r="A67" s="92">
        <v>1.1399999999999999</v>
      </c>
      <c r="B67" s="93">
        <v>0.87285684943720176</v>
      </c>
      <c r="C67" s="110">
        <v>1.39</v>
      </c>
      <c r="D67" s="107">
        <v>0.91773556132233103</v>
      </c>
      <c r="E67" s="92">
        <v>1.64</v>
      </c>
      <c r="F67" s="93">
        <v>0.94949741652589603</v>
      </c>
      <c r="G67" s="110">
        <v>1.89</v>
      </c>
      <c r="H67" s="107">
        <v>0.9706210199595906</v>
      </c>
      <c r="I67" s="92">
        <v>2.14</v>
      </c>
      <c r="J67" s="93">
        <v>0.98382261662783388</v>
      </c>
      <c r="K67" s="110">
        <v>2.39</v>
      </c>
      <c r="L67" s="107">
        <v>0.9915758136006545</v>
      </c>
      <c r="M67" s="92">
        <v>2.64</v>
      </c>
      <c r="N67" s="93">
        <v>0.99585469863896381</v>
      </c>
      <c r="O67" s="110">
        <v>2.89</v>
      </c>
      <c r="P67" s="107">
        <v>0.99807379086781201</v>
      </c>
      <c r="Q67" s="92">
        <v>3.14</v>
      </c>
      <c r="R67" s="93">
        <v>0.99915526082654127</v>
      </c>
      <c r="S67" s="110">
        <v>3.39</v>
      </c>
      <c r="T67" s="102">
        <v>0.99965053688166072</v>
      </c>
    </row>
    <row r="68" spans="1:20" x14ac:dyDescent="0.3">
      <c r="A68" s="94">
        <v>1.1499999999999999</v>
      </c>
      <c r="B68" s="95">
        <v>0.87492806436284964</v>
      </c>
      <c r="C68" s="111">
        <v>1.4</v>
      </c>
      <c r="D68" s="108">
        <v>0.91924334076622882</v>
      </c>
      <c r="E68" s="94">
        <v>1.65</v>
      </c>
      <c r="F68" s="95">
        <v>0.9505285319663519</v>
      </c>
      <c r="G68" s="111">
        <v>1.9</v>
      </c>
      <c r="H68" s="108">
        <v>0.97128344018399804</v>
      </c>
      <c r="I68" s="94">
        <v>2.15</v>
      </c>
      <c r="J68" s="95">
        <v>0.98422239260890954</v>
      </c>
      <c r="K68" s="111">
        <v>2.4</v>
      </c>
      <c r="L68" s="108">
        <v>0.99180246407540396</v>
      </c>
      <c r="M68" s="94">
        <v>2.65</v>
      </c>
      <c r="N68" s="95">
        <v>0.99597541145724156</v>
      </c>
      <c r="O68" s="111">
        <v>2.9</v>
      </c>
      <c r="P68" s="108">
        <v>0.99813418669961629</v>
      </c>
      <c r="Q68" s="94">
        <v>3.15</v>
      </c>
      <c r="R68" s="95">
        <v>0.99918364768717138</v>
      </c>
      <c r="S68" s="111">
        <v>3.4</v>
      </c>
      <c r="T68" s="104">
        <v>0.99966307073432348</v>
      </c>
    </row>
    <row r="69" spans="1:20" ht="16.2" x14ac:dyDescent="0.35">
      <c r="A69" s="92">
        <v>1.1599999999999999</v>
      </c>
      <c r="B69" s="93">
        <v>0.87697559694865657</v>
      </c>
      <c r="C69" s="110">
        <v>1.41</v>
      </c>
      <c r="D69" s="107">
        <v>0.92073015854660767</v>
      </c>
      <c r="E69" s="92">
        <v>1.66</v>
      </c>
      <c r="F69" s="93">
        <v>0.95154277373327711</v>
      </c>
      <c r="G69" s="110">
        <v>1.91</v>
      </c>
      <c r="H69" s="107">
        <v>0.97193339334022744</v>
      </c>
      <c r="I69" s="92">
        <v>2.16</v>
      </c>
      <c r="J69" s="93">
        <v>0.98461366521607452</v>
      </c>
      <c r="K69" s="110">
        <v>2.41</v>
      </c>
      <c r="L69" s="107">
        <v>0.9920237397392665</v>
      </c>
      <c r="M69" s="92">
        <v>2.66</v>
      </c>
      <c r="N69" s="93">
        <v>0.9960929674251473</v>
      </c>
      <c r="O69" s="110">
        <v>2.91</v>
      </c>
      <c r="P69" s="107">
        <v>0.99819285621919351</v>
      </c>
      <c r="Q69" s="92">
        <v>3.16</v>
      </c>
      <c r="R69" s="93">
        <v>0.99921115430562457</v>
      </c>
      <c r="S69" s="110">
        <v>3.41</v>
      </c>
      <c r="T69" s="102">
        <v>0.99967518560258051</v>
      </c>
    </row>
    <row r="70" spans="1:20" x14ac:dyDescent="0.3">
      <c r="A70" s="94">
        <v>1.17</v>
      </c>
      <c r="B70" s="95">
        <v>0.8789995155789817</v>
      </c>
      <c r="C70" s="111">
        <v>1.42</v>
      </c>
      <c r="D70" s="108">
        <v>0.92219615947345357</v>
      </c>
      <c r="E70" s="94">
        <v>1.67</v>
      </c>
      <c r="F70" s="95">
        <v>0.95254031819705265</v>
      </c>
      <c r="G70" s="111">
        <v>1.92</v>
      </c>
      <c r="H70" s="108">
        <v>0.97257105029616309</v>
      </c>
      <c r="I70" s="94">
        <v>2.17</v>
      </c>
      <c r="J70" s="95">
        <v>0.98499657702626764</v>
      </c>
      <c r="K70" s="111">
        <v>2.42</v>
      </c>
      <c r="L70" s="108">
        <v>0.99223974644944612</v>
      </c>
      <c r="M70" s="94">
        <v>2.67</v>
      </c>
      <c r="N70" s="95">
        <v>0.99620743765231445</v>
      </c>
      <c r="O70" s="111">
        <v>2.92</v>
      </c>
      <c r="P70" s="108">
        <v>0.99824984307132403</v>
      </c>
      <c r="Q70" s="94">
        <v>3.17</v>
      </c>
      <c r="R70" s="95">
        <v>0.99923780531193251</v>
      </c>
      <c r="S70" s="111">
        <v>3.42</v>
      </c>
      <c r="T70" s="104">
        <v>0.99968689432141855</v>
      </c>
    </row>
    <row r="71" spans="1:20" ht="16.2" x14ac:dyDescent="0.35">
      <c r="A71" s="92">
        <v>1.18</v>
      </c>
      <c r="B71" s="93">
        <v>0.88099989254479927</v>
      </c>
      <c r="C71" s="110">
        <v>1.43</v>
      </c>
      <c r="D71" s="107">
        <v>0.92364149046326105</v>
      </c>
      <c r="E71" s="92">
        <v>1.68</v>
      </c>
      <c r="F71" s="93">
        <v>0.95352134213627993</v>
      </c>
      <c r="G71" s="110">
        <v>1.93</v>
      </c>
      <c r="H71" s="107">
        <v>0.97319658112294505</v>
      </c>
      <c r="I71" s="92">
        <v>2.1800000000000002</v>
      </c>
      <c r="J71" s="93">
        <v>0.98537126922401086</v>
      </c>
      <c r="K71" s="110">
        <v>2.4300000000000002</v>
      </c>
      <c r="L71" s="107">
        <v>0.99245058858369073</v>
      </c>
      <c r="M71" s="92">
        <v>2.68</v>
      </c>
      <c r="N71" s="93">
        <v>0.99631889199082491</v>
      </c>
      <c r="O71" s="110">
        <v>2.93</v>
      </c>
      <c r="P71" s="107">
        <v>0.99830518998072271</v>
      </c>
      <c r="Q71" s="92">
        <v>3.18</v>
      </c>
      <c r="R71" s="93">
        <v>0.99926362473844565</v>
      </c>
      <c r="S71" s="110">
        <v>3.43</v>
      </c>
      <c r="T71" s="102">
        <v>0.999698209375392</v>
      </c>
    </row>
    <row r="72" spans="1:20" x14ac:dyDescent="0.3">
      <c r="A72" s="94">
        <v>1.19</v>
      </c>
      <c r="B72" s="95">
        <v>0.88297680397689127</v>
      </c>
      <c r="C72" s="111">
        <v>1.44</v>
      </c>
      <c r="D72" s="108">
        <v>0.92506630046567273</v>
      </c>
      <c r="E72" s="94">
        <v>1.69</v>
      </c>
      <c r="F72" s="95">
        <v>0.95448602267845006</v>
      </c>
      <c r="G72" s="111">
        <v>1.94</v>
      </c>
      <c r="H72" s="108">
        <v>0.97381015505954727</v>
      </c>
      <c r="I72" s="94">
        <v>2.19</v>
      </c>
      <c r="J72" s="95">
        <v>0.98573788158933118</v>
      </c>
      <c r="K72" s="111">
        <v>2.44</v>
      </c>
      <c r="L72" s="108">
        <v>0.9926563690446516</v>
      </c>
      <c r="M72" s="94">
        <v>2.69</v>
      </c>
      <c r="N72" s="95">
        <v>0.99642739904760036</v>
      </c>
      <c r="O72" s="111">
        <v>2.94</v>
      </c>
      <c r="P72" s="108">
        <v>0.99835893876584292</v>
      </c>
      <c r="Q72" s="94">
        <v>3.19</v>
      </c>
      <c r="R72" s="95">
        <v>0.99928863603135487</v>
      </c>
      <c r="S72" s="111">
        <v>3.44</v>
      </c>
      <c r="T72" s="104">
        <v>0.99970914290670854</v>
      </c>
    </row>
    <row r="73" spans="1:20" ht="16.2" x14ac:dyDescent="0.35">
      <c r="A73" s="92">
        <v>1.2</v>
      </c>
      <c r="B73" s="93">
        <v>0.88493032977829178</v>
      </c>
      <c r="C73" s="110">
        <v>1.45</v>
      </c>
      <c r="D73" s="107">
        <v>0.92647074039035149</v>
      </c>
      <c r="E73" s="92">
        <v>1.7</v>
      </c>
      <c r="F73" s="93">
        <v>0.95543453724145688</v>
      </c>
      <c r="G73" s="110">
        <v>1.95</v>
      </c>
      <c r="H73" s="107">
        <v>0.97441194047836133</v>
      </c>
      <c r="I73" s="92">
        <v>2.2000000000000002</v>
      </c>
      <c r="J73" s="93">
        <v>0.98609655248650141</v>
      </c>
      <c r="K73" s="110">
        <v>2.4500000000000002</v>
      </c>
      <c r="L73" s="107">
        <v>0.99285718926472866</v>
      </c>
      <c r="M73" s="92">
        <v>2.7</v>
      </c>
      <c r="N73" s="93">
        <v>0.99653302619695938</v>
      </c>
      <c r="O73" s="110">
        <v>2.95</v>
      </c>
      <c r="P73" s="107">
        <v>0.99841113035263507</v>
      </c>
      <c r="Q73" s="92">
        <v>3.2</v>
      </c>
      <c r="R73" s="93">
        <v>0.99931286206208414</v>
      </c>
      <c r="S73" s="110">
        <v>3.45</v>
      </c>
      <c r="T73" s="102">
        <v>0.99971970672318333</v>
      </c>
    </row>
    <row r="74" spans="1:20" x14ac:dyDescent="0.3">
      <c r="A74" s="94">
        <v>1.21</v>
      </c>
      <c r="B74" s="95">
        <v>0.88686055355602278</v>
      </c>
      <c r="C74" s="111">
        <v>1.46</v>
      </c>
      <c r="D74" s="108">
        <v>0.92785496303410619</v>
      </c>
      <c r="E74" s="94">
        <v>1.71</v>
      </c>
      <c r="F74" s="95">
        <v>0.956367063475968</v>
      </c>
      <c r="G74" s="111">
        <v>1.96</v>
      </c>
      <c r="H74" s="108">
        <v>0.97500210485177963</v>
      </c>
      <c r="I74" s="94">
        <v>2.21</v>
      </c>
      <c r="J74" s="95">
        <v>0.98644741885358012</v>
      </c>
      <c r="K74" s="111">
        <v>2.46</v>
      </c>
      <c r="L74" s="108">
        <v>0.99305314921137589</v>
      </c>
      <c r="M74" s="94">
        <v>2.71</v>
      </c>
      <c r="N74" s="95">
        <v>0.9966358395933308</v>
      </c>
      <c r="O74" s="111">
        <v>2.96</v>
      </c>
      <c r="P74" s="108">
        <v>0.99846180478826185</v>
      </c>
      <c r="Q74" s="94">
        <v>3.21</v>
      </c>
      <c r="R74" s="95">
        <v>0.9993363251385603</v>
      </c>
      <c r="S74" s="111">
        <v>3.46</v>
      </c>
      <c r="T74" s="104">
        <v>0.99972991230603636</v>
      </c>
    </row>
    <row r="75" spans="1:20" ht="16.2" x14ac:dyDescent="0.35">
      <c r="A75" s="92">
        <v>1.22</v>
      </c>
      <c r="B75" s="93">
        <v>0.88876756255216516</v>
      </c>
      <c r="C75" s="110">
        <v>1.47</v>
      </c>
      <c r="D75" s="107">
        <v>0.92921912300831444</v>
      </c>
      <c r="E75" s="92">
        <v>1.72</v>
      </c>
      <c r="F75" s="93">
        <v>0.95728377920867103</v>
      </c>
      <c r="G75" s="110">
        <v>1.97</v>
      </c>
      <c r="H75" s="107">
        <v>0.97558081471977753</v>
      </c>
      <c r="I75" s="92">
        <v>2.2200000000000002</v>
      </c>
      <c r="J75" s="93">
        <v>0.98679061619274377</v>
      </c>
      <c r="K75" s="110">
        <v>2.4700000000000002</v>
      </c>
      <c r="L75" s="107">
        <v>0.99324434739285938</v>
      </c>
      <c r="M75" s="92">
        <v>2.72</v>
      </c>
      <c r="N75" s="93">
        <v>0.99673590418410873</v>
      </c>
      <c r="O75" s="110">
        <v>2.97</v>
      </c>
      <c r="P75" s="107">
        <v>0.99851100125476278</v>
      </c>
      <c r="Q75" s="92">
        <v>3.22</v>
      </c>
      <c r="R75" s="93">
        <v>0.99935904701634004</v>
      </c>
      <c r="S75" s="110">
        <v>3.47</v>
      </c>
      <c r="T75" s="102">
        <v>0.99973977081757304</v>
      </c>
    </row>
    <row r="76" spans="1:20" x14ac:dyDescent="0.3">
      <c r="A76" s="94">
        <v>1.23</v>
      </c>
      <c r="B76" s="95">
        <v>0.89065144757430814</v>
      </c>
      <c r="C76" s="111">
        <v>1.48</v>
      </c>
      <c r="D76" s="108">
        <v>0.93056337666666822</v>
      </c>
      <c r="E76" s="94">
        <v>1.73</v>
      </c>
      <c r="F76" s="95">
        <v>0.9581848623864051</v>
      </c>
      <c r="G76" s="111">
        <v>1.98</v>
      </c>
      <c r="H76" s="108">
        <v>0.9761482356584914</v>
      </c>
      <c r="I76" s="94">
        <v>2.23</v>
      </c>
      <c r="J76" s="95">
        <v>0.98712627856139801</v>
      </c>
      <c r="K76" s="111">
        <v>2.48</v>
      </c>
      <c r="L76" s="108">
        <v>0.99343088086445341</v>
      </c>
      <c r="M76" s="94">
        <v>2.73</v>
      </c>
      <c r="N76" s="95">
        <v>0.99683328372264224</v>
      </c>
      <c r="O76" s="111">
        <v>2.98</v>
      </c>
      <c r="P76" s="108">
        <v>0.99855875808266015</v>
      </c>
      <c r="Q76" s="94">
        <v>3.23</v>
      </c>
      <c r="R76" s="95">
        <v>0.99938104890961266</v>
      </c>
      <c r="S76" s="111">
        <v>3.48</v>
      </c>
      <c r="T76" s="104">
        <v>0.99974929310871874</v>
      </c>
    </row>
    <row r="77" spans="1:20" ht="16.2" x14ac:dyDescent="0.35">
      <c r="A77" s="92">
        <v>1.24</v>
      </c>
      <c r="B77" s="93">
        <v>0.89251230292541317</v>
      </c>
      <c r="C77" s="110">
        <v>1.49</v>
      </c>
      <c r="D77" s="107">
        <v>0.93188788203327455</v>
      </c>
      <c r="E77" s="92">
        <v>1.74</v>
      </c>
      <c r="F77" s="93">
        <v>0.95907049102119268</v>
      </c>
      <c r="G77" s="110">
        <v>1.99</v>
      </c>
      <c r="H77" s="107">
        <v>0.97670453224978815</v>
      </c>
      <c r="I77" s="92">
        <v>2.2400000000000002</v>
      </c>
      <c r="J77" s="93">
        <v>0.98745453856405341</v>
      </c>
      <c r="K77" s="110">
        <v>2.4900000000000002</v>
      </c>
      <c r="L77" s="107">
        <v>0.99361284523505677</v>
      </c>
      <c r="M77" s="92">
        <v>2.74</v>
      </c>
      <c r="N77" s="93">
        <v>0.99692804078134944</v>
      </c>
      <c r="O77" s="110">
        <v>2.99</v>
      </c>
      <c r="P77" s="107">
        <v>0.9986051127645077</v>
      </c>
      <c r="Q77" s="92">
        <v>3.24</v>
      </c>
      <c r="R77" s="93">
        <v>0.9994023515020658</v>
      </c>
      <c r="S77" s="110">
        <v>3.49</v>
      </c>
      <c r="T77" s="102">
        <v>0.99975848972643155</v>
      </c>
    </row>
    <row r="78" spans="1:20" ht="16.2" thickBot="1" x14ac:dyDescent="0.35">
      <c r="A78" s="96">
        <v>1.25</v>
      </c>
      <c r="B78" s="97">
        <v>0.89435022633314465</v>
      </c>
      <c r="C78" s="112">
        <v>1.5</v>
      </c>
      <c r="D78" s="109">
        <v>0.93319279873114191</v>
      </c>
      <c r="E78" s="96">
        <v>1.75</v>
      </c>
      <c r="F78" s="97">
        <v>0.95994084313618289</v>
      </c>
      <c r="G78" s="112">
        <v>2</v>
      </c>
      <c r="H78" s="109">
        <v>0.97724986805182068</v>
      </c>
      <c r="I78" s="96">
        <v>2.25</v>
      </c>
      <c r="J78" s="97">
        <v>0.98777552734495533</v>
      </c>
      <c r="K78" s="112">
        <v>2.5</v>
      </c>
      <c r="L78" s="109">
        <v>0.99379033467422406</v>
      </c>
      <c r="M78" s="96">
        <v>2.75</v>
      </c>
      <c r="N78" s="97">
        <v>0.99702023676494544</v>
      </c>
      <c r="O78" s="112">
        <v>3</v>
      </c>
      <c r="P78" s="109">
        <v>0.9986501019683699</v>
      </c>
      <c r="Q78" s="96">
        <v>3.25</v>
      </c>
      <c r="R78" s="97">
        <v>0.99942297495760923</v>
      </c>
      <c r="S78" s="112">
        <v>3.5</v>
      </c>
      <c r="T78" s="106">
        <v>0.99976737092096579</v>
      </c>
    </row>
    <row r="79" spans="1:20" ht="16.2" thickBot="1" x14ac:dyDescent="0.35">
      <c r="A79" s="120"/>
      <c r="B79" s="121"/>
      <c r="C79" s="114"/>
      <c r="D79" s="114"/>
      <c r="E79" s="114"/>
      <c r="F79" s="114"/>
      <c r="G79" s="114"/>
      <c r="H79" s="114"/>
      <c r="I79" s="114"/>
      <c r="J79" s="114"/>
      <c r="K79" s="114"/>
      <c r="L79" s="114"/>
      <c r="M79" s="114"/>
      <c r="N79" s="114"/>
      <c r="O79" s="114"/>
      <c r="P79" s="114"/>
      <c r="Q79" s="114"/>
      <c r="R79" s="114"/>
      <c r="S79" s="114"/>
      <c r="T79" s="116"/>
    </row>
    <row r="80" spans="1:20" x14ac:dyDescent="0.3">
      <c r="A80" s="90">
        <v>3.51</v>
      </c>
      <c r="B80" s="91">
        <v>0.99977594665300884</v>
      </c>
      <c r="C80" s="99">
        <v>3.76</v>
      </c>
      <c r="D80" s="100">
        <v>0.99991504332150405</v>
      </c>
      <c r="E80"/>
      <c r="G80"/>
      <c r="I80"/>
      <c r="K80"/>
      <c r="M80"/>
      <c r="O80"/>
      <c r="Q80"/>
      <c r="S80"/>
    </row>
    <row r="81" spans="1:19" ht="16.2" x14ac:dyDescent="0.35">
      <c r="A81" s="92">
        <v>3.52</v>
      </c>
      <c r="B81" s="93">
        <v>0.99978422660070465</v>
      </c>
      <c r="C81" s="101">
        <v>3.77</v>
      </c>
      <c r="D81" s="102">
        <v>0.99991837622629554</v>
      </c>
      <c r="E81"/>
      <c r="G81"/>
      <c r="I81"/>
      <c r="K81"/>
      <c r="M81"/>
      <c r="O81"/>
      <c r="Q81"/>
      <c r="S81"/>
    </row>
    <row r="82" spans="1:19" x14ac:dyDescent="0.3">
      <c r="A82" s="94">
        <v>3.53</v>
      </c>
      <c r="B82" s="95">
        <v>0.99979222016652014</v>
      </c>
      <c r="C82" s="103">
        <v>3.78</v>
      </c>
      <c r="D82" s="104">
        <v>0.99992158582061741</v>
      </c>
      <c r="E82"/>
      <c r="G82"/>
      <c r="I82"/>
      <c r="K82"/>
      <c r="M82"/>
      <c r="O82"/>
      <c r="Q82"/>
      <c r="S82"/>
    </row>
    <row r="83" spans="1:19" ht="16.2" x14ac:dyDescent="0.35">
      <c r="A83" s="92">
        <v>3.54</v>
      </c>
      <c r="B83" s="93">
        <v>0.99979993648399157</v>
      </c>
      <c r="C83" s="101">
        <v>3.79</v>
      </c>
      <c r="D83" s="102">
        <v>0.99992467635761928</v>
      </c>
      <c r="E83"/>
      <c r="G83"/>
      <c r="I83"/>
      <c r="K83"/>
      <c r="M83"/>
      <c r="O83"/>
      <c r="Q83"/>
      <c r="S83"/>
    </row>
    <row r="84" spans="1:19" x14ac:dyDescent="0.3">
      <c r="A84" s="94">
        <v>3.55</v>
      </c>
      <c r="B84" s="95">
        <v>0.99980738442436612</v>
      </c>
      <c r="C84" s="103">
        <v>3.8</v>
      </c>
      <c r="D84" s="104">
        <v>0.99992765195607558</v>
      </c>
      <c r="E84"/>
      <c r="G84"/>
      <c r="I84"/>
      <c r="K84"/>
      <c r="M84"/>
      <c r="O84"/>
      <c r="Q84"/>
      <c r="S84"/>
    </row>
    <row r="85" spans="1:19" ht="16.2" x14ac:dyDescent="0.35">
      <c r="A85" s="92">
        <v>3.56</v>
      </c>
      <c r="B85" s="93">
        <v>0.99981457260306694</v>
      </c>
      <c r="C85" s="101">
        <v>3.81</v>
      </c>
      <c r="D85" s="102">
        <v>0.99993051660412013</v>
      </c>
      <c r="E85"/>
      <c r="G85"/>
      <c r="I85"/>
      <c r="K85"/>
      <c r="M85"/>
      <c r="O85"/>
      <c r="Q85"/>
      <c r="S85"/>
    </row>
    <row r="86" spans="1:19" x14ac:dyDescent="0.3">
      <c r="A86" s="94">
        <v>3.57</v>
      </c>
      <c r="B86" s="95">
        <v>0.99982150938609504</v>
      </c>
      <c r="C86" s="103">
        <v>3.82</v>
      </c>
      <c r="D86" s="104">
        <v>0.99993327416297162</v>
      </c>
      <c r="E86"/>
      <c r="G86"/>
      <c r="I86"/>
      <c r="K86"/>
      <c r="M86"/>
      <c r="O86"/>
      <c r="Q86"/>
      <c r="S86"/>
    </row>
    <row r="87" spans="1:19" ht="16.2" x14ac:dyDescent="0.35">
      <c r="A87" s="92">
        <v>3.58</v>
      </c>
      <c r="B87" s="93">
        <v>0.99982820289625374</v>
      </c>
      <c r="C87" s="101">
        <v>3.83</v>
      </c>
      <c r="D87" s="102">
        <v>0.99993592837050826</v>
      </c>
      <c r="E87"/>
      <c r="G87"/>
      <c r="I87"/>
      <c r="K87"/>
      <c r="M87"/>
      <c r="O87"/>
      <c r="Q87"/>
      <c r="S87"/>
    </row>
    <row r="88" spans="1:19" x14ac:dyDescent="0.3">
      <c r="A88" s="94">
        <v>3.59</v>
      </c>
      <c r="B88" s="95">
        <v>0.9998346610192792</v>
      </c>
      <c r="C88" s="103">
        <v>3.84</v>
      </c>
      <c r="D88" s="104">
        <v>0.99993848284481246</v>
      </c>
      <c r="E88"/>
      <c r="G88"/>
      <c r="I88"/>
      <c r="K88"/>
      <c r="M88"/>
      <c r="O88"/>
      <c r="Q88"/>
      <c r="S88"/>
    </row>
    <row r="89" spans="1:19" ht="16.2" x14ac:dyDescent="0.35">
      <c r="A89" s="92">
        <v>3.6</v>
      </c>
      <c r="B89" s="93">
        <v>0.99984089140984223</v>
      </c>
      <c r="C89" s="101">
        <v>3.85</v>
      </c>
      <c r="D89" s="102">
        <v>0.99994094108758225</v>
      </c>
      <c r="E89"/>
      <c r="G89"/>
      <c r="I89"/>
      <c r="K89"/>
      <c r="M89"/>
      <c r="O89"/>
      <c r="Q89"/>
      <c r="S89"/>
    </row>
    <row r="90" spans="1:19" x14ac:dyDescent="0.3">
      <c r="A90" s="94">
        <v>3.61</v>
      </c>
      <c r="B90" s="95">
        <v>0.9998469014974265</v>
      </c>
      <c r="C90" s="103">
        <v>3.86</v>
      </c>
      <c r="D90" s="104">
        <v>0.99994330648746521</v>
      </c>
      <c r="E90"/>
      <c r="G90"/>
      <c r="I90"/>
      <c r="K90"/>
      <c r="M90"/>
      <c r="O90"/>
      <c r="Q90"/>
      <c r="S90"/>
    </row>
    <row r="91" spans="1:19" ht="16.2" x14ac:dyDescent="0.35">
      <c r="A91" s="92">
        <v>3.62</v>
      </c>
      <c r="B91" s="93">
        <v>0.99985269849209346</v>
      </c>
      <c r="C91" s="101">
        <v>3.87</v>
      </c>
      <c r="D91" s="102">
        <v>0.99994558232336173</v>
      </c>
      <c r="E91"/>
      <c r="G91"/>
      <c r="I91"/>
      <c r="K91"/>
      <c r="M91"/>
      <c r="O91"/>
      <c r="Q91"/>
      <c r="S91"/>
    </row>
    <row r="92" spans="1:19" x14ac:dyDescent="0.3">
      <c r="A92" s="94">
        <v>3.63</v>
      </c>
      <c r="B92" s="95">
        <v>0.99985828939012422</v>
      </c>
      <c r="C92" s="103">
        <v>3.88</v>
      </c>
      <c r="D92" s="104">
        <v>0.99994777176759719</v>
      </c>
      <c r="E92"/>
      <c r="G92"/>
      <c r="I92"/>
      <c r="K92"/>
      <c r="M92"/>
      <c r="O92"/>
      <c r="Q92"/>
      <c r="S92"/>
    </row>
    <row r="93" spans="1:19" ht="16.2" x14ac:dyDescent="0.35">
      <c r="A93" s="92">
        <v>3.64</v>
      </c>
      <c r="B93" s="93">
        <v>0.99986368097955358</v>
      </c>
      <c r="C93" s="101">
        <v>3.89</v>
      </c>
      <c r="D93" s="102">
        <v>0.99994987788899869</v>
      </c>
      <c r="E93" s="83"/>
      <c r="G93"/>
      <c r="I93"/>
      <c r="K93"/>
      <c r="M93"/>
      <c r="O93"/>
      <c r="Q93"/>
      <c r="S93"/>
    </row>
    <row r="94" spans="1:19" x14ac:dyDescent="0.3">
      <c r="A94" s="94">
        <v>3.65</v>
      </c>
      <c r="B94" s="95">
        <v>0.99986887984557893</v>
      </c>
      <c r="C94" s="103">
        <v>3.9</v>
      </c>
      <c r="D94" s="104">
        <v>0.99995190365598552</v>
      </c>
      <c r="E94"/>
      <c r="G94"/>
      <c r="I94"/>
      <c r="K94"/>
      <c r="M94"/>
      <c r="O94"/>
      <c r="Q94"/>
      <c r="S94"/>
    </row>
    <row r="95" spans="1:19" ht="16.2" x14ac:dyDescent="0.35">
      <c r="A95" s="92">
        <v>3.66</v>
      </c>
      <c r="B95" s="93">
        <v>0.99987389237586166</v>
      </c>
      <c r="C95" s="101">
        <v>3.91</v>
      </c>
      <c r="D95" s="102">
        <v>0.99995385193944508</v>
      </c>
      <c r="E95"/>
      <c r="G95"/>
      <c r="I95"/>
      <c r="K95"/>
      <c r="M95"/>
      <c r="O95"/>
      <c r="Q95"/>
      <c r="S95"/>
    </row>
    <row r="96" spans="1:19" x14ac:dyDescent="0.3">
      <c r="A96" s="94">
        <v>3.67</v>
      </c>
      <c r="B96" s="95">
        <v>0.99987872476571371</v>
      </c>
      <c r="C96" s="103">
        <v>3.92</v>
      </c>
      <c r="D96" s="104">
        <v>0.9999557255156899</v>
      </c>
      <c r="E96"/>
      <c r="G96"/>
      <c r="I96"/>
      <c r="K96"/>
      <c r="M96"/>
      <c r="O96"/>
      <c r="Q96"/>
      <c r="S96"/>
    </row>
    <row r="97" spans="1:19" ht="16.2" x14ac:dyDescent="0.35">
      <c r="A97" s="92">
        <v>3.68</v>
      </c>
      <c r="B97" s="93">
        <v>0.99988338302318414</v>
      </c>
      <c r="C97" s="101">
        <v>3.93</v>
      </c>
      <c r="D97" s="102">
        <v>0.99995752706921182</v>
      </c>
      <c r="E97"/>
      <c r="G97"/>
      <c r="I97"/>
      <c r="K97"/>
      <c r="M97"/>
      <c r="O97"/>
      <c r="Q97"/>
      <c r="S97"/>
    </row>
    <row r="98" spans="1:19" x14ac:dyDescent="0.3">
      <c r="A98" s="94">
        <v>3.69</v>
      </c>
      <c r="B98" s="95">
        <v>0.99988787297401749</v>
      </c>
      <c r="C98" s="103">
        <v>3.94</v>
      </c>
      <c r="D98" s="104">
        <v>0.99995925919544038</v>
      </c>
      <c r="E98"/>
      <c r="G98"/>
      <c r="I98"/>
      <c r="K98"/>
      <c r="M98"/>
      <c r="O98"/>
      <c r="Q98"/>
      <c r="S98"/>
    </row>
    <row r="99" spans="1:19" ht="16.2" x14ac:dyDescent="0.35">
      <c r="A99" s="92">
        <v>3.7</v>
      </c>
      <c r="B99" s="93">
        <v>0.99989220026652192</v>
      </c>
      <c r="C99" s="101">
        <v>3.95</v>
      </c>
      <c r="D99" s="102">
        <v>0.99996092440340245</v>
      </c>
      <c r="E99"/>
      <c r="G99"/>
      <c r="I99"/>
      <c r="K99"/>
      <c r="M99"/>
      <c r="O99"/>
      <c r="Q99"/>
      <c r="S99"/>
    </row>
    <row r="100" spans="1:19" x14ac:dyDescent="0.3">
      <c r="A100" s="94">
        <v>3.71</v>
      </c>
      <c r="B100" s="95">
        <v>0.99989637037632617</v>
      </c>
      <c r="C100" s="103">
        <v>3.96</v>
      </c>
      <c r="D100" s="104">
        <v>0.99996252511830308</v>
      </c>
      <c r="E100"/>
      <c r="G100"/>
      <c r="I100"/>
      <c r="K100"/>
      <c r="M100"/>
      <c r="O100"/>
      <c r="Q100"/>
      <c r="S100"/>
    </row>
    <row r="101" spans="1:19" ht="16.2" x14ac:dyDescent="0.35">
      <c r="A101" s="92">
        <v>3.72</v>
      </c>
      <c r="B101" s="93">
        <v>0.9999003886110247</v>
      </c>
      <c r="C101" s="101">
        <v>3.97</v>
      </c>
      <c r="D101" s="102">
        <v>0.99996406368409763</v>
      </c>
      <c r="E101"/>
      <c r="G101"/>
      <c r="I101"/>
      <c r="K101"/>
      <c r="M101"/>
      <c r="O101"/>
      <c r="Q101"/>
      <c r="S101"/>
    </row>
    <row r="102" spans="1:19" x14ac:dyDescent="0.3">
      <c r="A102" s="94">
        <v>3.73</v>
      </c>
      <c r="B102" s="95">
        <v>0.9999042601147311</v>
      </c>
      <c r="C102" s="103">
        <v>3.98</v>
      </c>
      <c r="D102" s="104">
        <v>0.99996554236588442</v>
      </c>
      <c r="E102"/>
      <c r="G102"/>
      <c r="I102"/>
      <c r="K102"/>
      <c r="M102"/>
      <c r="O102"/>
      <c r="Q102"/>
      <c r="S102"/>
    </row>
    <row r="103" spans="1:19" ht="16.2" x14ac:dyDescent="0.35">
      <c r="A103" s="92">
        <v>3.74</v>
      </c>
      <c r="B103" s="93">
        <v>0.99990798987252716</v>
      </c>
      <c r="C103" s="101">
        <v>3.99</v>
      </c>
      <c r="D103" s="102">
        <v>0.99996696335237156</v>
      </c>
      <c r="E103"/>
      <c r="G103"/>
      <c r="I103"/>
      <c r="K103"/>
      <c r="M103"/>
      <c r="O103"/>
      <c r="Q103"/>
      <c r="S103"/>
    </row>
    <row r="104" spans="1:19" ht="16.2" thickBot="1" x14ac:dyDescent="0.35">
      <c r="A104" s="96">
        <v>3.75</v>
      </c>
      <c r="B104" s="97">
        <v>0.99991158271479863</v>
      </c>
      <c r="C104" s="96">
        <v>4</v>
      </c>
      <c r="D104" s="97">
        <v>0.99996832875816322</v>
      </c>
      <c r="E104"/>
      <c r="G104"/>
      <c r="I104"/>
      <c r="K104"/>
      <c r="M104"/>
      <c r="O104"/>
      <c r="Q104"/>
      <c r="S104"/>
    </row>
    <row r="105" spans="1:19" x14ac:dyDescent="0.3">
      <c r="A105" s="70"/>
      <c r="C105"/>
      <c r="E105"/>
      <c r="G105"/>
      <c r="I105"/>
      <c r="K105"/>
      <c r="M105"/>
      <c r="O105"/>
      <c r="Q105"/>
      <c r="S105"/>
    </row>
    <row r="106" spans="1:19" x14ac:dyDescent="0.3">
      <c r="A106" s="70"/>
      <c r="C106"/>
      <c r="E106"/>
      <c r="G106"/>
      <c r="I106"/>
      <c r="K106"/>
      <c r="M106"/>
      <c r="O106"/>
      <c r="Q106"/>
      <c r="S106"/>
    </row>
    <row r="107" spans="1:19" x14ac:dyDescent="0.3">
      <c r="A107" s="70"/>
      <c r="C107"/>
      <c r="E107"/>
      <c r="G107"/>
      <c r="I107"/>
      <c r="K107"/>
      <c r="M107"/>
      <c r="O107"/>
      <c r="Q107"/>
      <c r="S107"/>
    </row>
    <row r="108" spans="1:19" x14ac:dyDescent="0.3">
      <c r="A108" s="70"/>
      <c r="C108"/>
      <c r="E108"/>
      <c r="G108"/>
      <c r="I108"/>
      <c r="K108"/>
      <c r="M108"/>
      <c r="O108"/>
      <c r="Q108"/>
      <c r="S108"/>
    </row>
    <row r="109" spans="1:19" x14ac:dyDescent="0.3">
      <c r="A109" s="70"/>
      <c r="C109"/>
      <c r="E109"/>
      <c r="G109"/>
      <c r="I109"/>
      <c r="K109"/>
      <c r="M109"/>
      <c r="O109"/>
      <c r="Q109"/>
      <c r="S109"/>
    </row>
    <row r="110" spans="1:19" x14ac:dyDescent="0.3">
      <c r="A110" s="70"/>
      <c r="C110"/>
      <c r="E110"/>
      <c r="G110"/>
      <c r="I110"/>
      <c r="K110"/>
      <c r="M110"/>
      <c r="O110"/>
      <c r="Q110"/>
      <c r="S110"/>
    </row>
    <row r="111" spans="1:19" x14ac:dyDescent="0.3">
      <c r="A111" s="70"/>
      <c r="C111"/>
      <c r="E111"/>
      <c r="G111"/>
      <c r="I111"/>
      <c r="K111"/>
      <c r="M111"/>
      <c r="O111"/>
      <c r="Q111"/>
      <c r="S111"/>
    </row>
    <row r="112" spans="1:19" x14ac:dyDescent="0.3">
      <c r="A112" s="70"/>
      <c r="C112"/>
      <c r="E112"/>
      <c r="G112"/>
      <c r="I112"/>
      <c r="K112"/>
      <c r="M112"/>
      <c r="O112"/>
      <c r="Q112"/>
      <c r="S112"/>
    </row>
    <row r="113" spans="1:19" x14ac:dyDescent="0.3">
      <c r="A113" s="70"/>
      <c r="C113"/>
      <c r="E113"/>
      <c r="G113"/>
      <c r="I113"/>
      <c r="K113"/>
      <c r="M113"/>
      <c r="O113"/>
      <c r="Q113"/>
      <c r="S113"/>
    </row>
    <row r="114" spans="1:19" x14ac:dyDescent="0.3">
      <c r="A114" s="70"/>
      <c r="C114"/>
      <c r="E114"/>
      <c r="G114"/>
      <c r="I114"/>
      <c r="K114"/>
      <c r="M114"/>
      <c r="O114"/>
      <c r="Q114"/>
      <c r="S114"/>
    </row>
    <row r="115" spans="1:19" x14ac:dyDescent="0.3">
      <c r="A115" s="70"/>
      <c r="C115"/>
      <c r="E115"/>
      <c r="G115"/>
      <c r="I115"/>
      <c r="K115"/>
      <c r="M115"/>
      <c r="O115"/>
      <c r="Q115"/>
      <c r="S115"/>
    </row>
    <row r="116" spans="1:19" x14ac:dyDescent="0.3">
      <c r="A116" s="70"/>
      <c r="C116"/>
      <c r="E116"/>
      <c r="G116"/>
      <c r="I116"/>
      <c r="K116"/>
      <c r="M116"/>
      <c r="O116"/>
      <c r="Q116"/>
      <c r="S116"/>
    </row>
    <row r="117" spans="1:19" x14ac:dyDescent="0.3">
      <c r="A117" s="70"/>
      <c r="C117"/>
      <c r="E117"/>
      <c r="G117"/>
      <c r="I117"/>
      <c r="K117"/>
      <c r="M117"/>
      <c r="O117"/>
      <c r="Q117"/>
      <c r="S117"/>
    </row>
    <row r="118" spans="1:19" x14ac:dyDescent="0.3">
      <c r="A118" s="70"/>
      <c r="C118"/>
      <c r="E118"/>
      <c r="G118"/>
      <c r="I118"/>
      <c r="K118"/>
      <c r="M118"/>
      <c r="O118"/>
      <c r="Q118"/>
      <c r="S118"/>
    </row>
    <row r="119" spans="1:19" x14ac:dyDescent="0.3">
      <c r="A119" s="70"/>
      <c r="C119"/>
      <c r="E119"/>
      <c r="G119"/>
      <c r="I119"/>
      <c r="K119"/>
      <c r="M119"/>
      <c r="O119"/>
      <c r="Q119"/>
      <c r="S119"/>
    </row>
    <row r="120" spans="1:19" x14ac:dyDescent="0.3">
      <c r="A120" s="70"/>
      <c r="C120"/>
      <c r="E120"/>
      <c r="G120"/>
      <c r="I120"/>
      <c r="K120"/>
      <c r="M120"/>
      <c r="O120"/>
      <c r="Q120"/>
      <c r="S120"/>
    </row>
    <row r="121" spans="1:19" x14ac:dyDescent="0.3">
      <c r="A121" s="70"/>
      <c r="C121"/>
      <c r="E121"/>
      <c r="G121"/>
      <c r="I121"/>
      <c r="K121"/>
      <c r="M121"/>
      <c r="O121"/>
      <c r="Q121"/>
      <c r="S121"/>
    </row>
    <row r="122" spans="1:19" x14ac:dyDescent="0.3">
      <c r="A122" s="70"/>
      <c r="C122"/>
      <c r="E122"/>
      <c r="G122"/>
      <c r="I122"/>
      <c r="K122"/>
      <c r="M122"/>
      <c r="O122"/>
      <c r="Q122"/>
      <c r="S122"/>
    </row>
    <row r="123" spans="1:19" x14ac:dyDescent="0.3">
      <c r="A123" s="70"/>
      <c r="C123"/>
      <c r="E123"/>
      <c r="G123"/>
      <c r="I123"/>
      <c r="K123"/>
      <c r="M123"/>
      <c r="O123"/>
      <c r="Q123"/>
      <c r="S123"/>
    </row>
    <row r="124" spans="1:19" x14ac:dyDescent="0.3">
      <c r="A124" s="70"/>
      <c r="C124"/>
      <c r="E124"/>
      <c r="G124"/>
      <c r="I124"/>
      <c r="K124"/>
      <c r="M124"/>
      <c r="O124"/>
      <c r="Q124"/>
      <c r="S124"/>
    </row>
    <row r="125" spans="1:19" x14ac:dyDescent="0.3">
      <c r="A125" s="70"/>
      <c r="C125"/>
      <c r="E125"/>
      <c r="G125"/>
      <c r="I125"/>
      <c r="K125"/>
      <c r="M125"/>
      <c r="O125"/>
      <c r="Q125"/>
      <c r="S125"/>
    </row>
    <row r="126" spans="1:19" x14ac:dyDescent="0.3">
      <c r="A126" s="70"/>
      <c r="C126"/>
      <c r="E126"/>
      <c r="G126"/>
      <c r="I126"/>
      <c r="K126"/>
      <c r="M126"/>
      <c r="O126"/>
      <c r="Q126"/>
      <c r="S126"/>
    </row>
    <row r="127" spans="1:19" x14ac:dyDescent="0.3">
      <c r="A127" s="70"/>
      <c r="C127"/>
      <c r="E127"/>
      <c r="G127"/>
      <c r="I127"/>
      <c r="K127"/>
      <c r="M127"/>
      <c r="O127"/>
      <c r="Q127"/>
      <c r="S127"/>
    </row>
    <row r="128" spans="1:19" x14ac:dyDescent="0.3">
      <c r="A128" s="70"/>
      <c r="C128"/>
      <c r="E128"/>
      <c r="G128"/>
      <c r="I128"/>
      <c r="K128"/>
      <c r="M128"/>
      <c r="O128"/>
      <c r="Q128"/>
      <c r="S128"/>
    </row>
    <row r="129" spans="1:19" x14ac:dyDescent="0.3">
      <c r="A129" s="70"/>
      <c r="C129"/>
      <c r="E129"/>
      <c r="G129"/>
      <c r="I129"/>
      <c r="K129"/>
      <c r="M129"/>
      <c r="O129"/>
      <c r="Q129"/>
      <c r="S129"/>
    </row>
    <row r="130" spans="1:19" x14ac:dyDescent="0.3">
      <c r="A130" s="70"/>
      <c r="C130"/>
      <c r="E130"/>
      <c r="G130"/>
      <c r="I130"/>
      <c r="K130"/>
      <c r="M130"/>
      <c r="O130"/>
      <c r="Q130"/>
      <c r="S130"/>
    </row>
    <row r="131" spans="1:19" x14ac:dyDescent="0.3">
      <c r="A131" s="70"/>
      <c r="C131"/>
      <c r="E131"/>
      <c r="G131"/>
      <c r="I131"/>
      <c r="K131"/>
      <c r="M131"/>
      <c r="O131"/>
      <c r="Q131"/>
      <c r="S131"/>
    </row>
    <row r="132" spans="1:19" x14ac:dyDescent="0.3">
      <c r="A132" s="70"/>
      <c r="C132"/>
      <c r="E132"/>
      <c r="G132"/>
      <c r="I132"/>
      <c r="K132"/>
      <c r="M132"/>
      <c r="O132"/>
      <c r="Q132"/>
      <c r="S132"/>
    </row>
    <row r="133" spans="1:19" x14ac:dyDescent="0.3">
      <c r="A133" s="70"/>
      <c r="C133"/>
      <c r="E133"/>
      <c r="G133"/>
      <c r="I133"/>
      <c r="K133"/>
      <c r="M133"/>
      <c r="O133"/>
      <c r="Q133"/>
      <c r="S133"/>
    </row>
    <row r="134" spans="1:19" x14ac:dyDescent="0.3">
      <c r="A134" s="70"/>
      <c r="C134"/>
      <c r="E134"/>
      <c r="G134"/>
      <c r="I134"/>
      <c r="K134"/>
      <c r="M134"/>
      <c r="O134"/>
      <c r="Q134"/>
      <c r="S134"/>
    </row>
    <row r="135" spans="1:19" x14ac:dyDescent="0.3">
      <c r="A135" s="70"/>
      <c r="C135"/>
      <c r="E135"/>
      <c r="G135"/>
      <c r="I135"/>
      <c r="K135"/>
      <c r="M135"/>
      <c r="O135"/>
      <c r="Q135"/>
      <c r="S135"/>
    </row>
    <row r="136" spans="1:19" x14ac:dyDescent="0.3">
      <c r="A136" s="70"/>
      <c r="C136"/>
      <c r="E136"/>
      <c r="G136"/>
      <c r="I136"/>
      <c r="K136"/>
      <c r="M136"/>
      <c r="O136"/>
      <c r="Q136"/>
      <c r="S136"/>
    </row>
    <row r="137" spans="1:19" x14ac:dyDescent="0.3">
      <c r="A137" s="70"/>
      <c r="C137"/>
      <c r="E137"/>
      <c r="G137"/>
      <c r="I137"/>
      <c r="K137"/>
      <c r="M137"/>
      <c r="O137"/>
      <c r="Q137"/>
      <c r="S137"/>
    </row>
    <row r="138" spans="1:19" x14ac:dyDescent="0.3">
      <c r="A138" s="70"/>
      <c r="C138"/>
      <c r="E138"/>
      <c r="G138"/>
      <c r="I138"/>
      <c r="K138"/>
      <c r="M138"/>
      <c r="O138"/>
      <c r="Q138"/>
      <c r="S138"/>
    </row>
    <row r="139" spans="1:19" x14ac:dyDescent="0.3">
      <c r="A139" s="70"/>
      <c r="C139"/>
      <c r="E139"/>
      <c r="G139"/>
      <c r="I139"/>
      <c r="K139"/>
      <c r="M139"/>
      <c r="O139"/>
      <c r="Q139"/>
      <c r="S139"/>
    </row>
    <row r="140" spans="1:19" x14ac:dyDescent="0.3">
      <c r="A140" s="70"/>
      <c r="C140"/>
      <c r="E140"/>
      <c r="G140"/>
      <c r="I140"/>
      <c r="K140"/>
      <c r="M140"/>
      <c r="O140"/>
      <c r="Q140"/>
      <c r="S140"/>
    </row>
    <row r="141" spans="1:19" x14ac:dyDescent="0.3">
      <c r="A141" s="70"/>
      <c r="C141"/>
      <c r="E141"/>
      <c r="G141"/>
      <c r="I141"/>
      <c r="K141"/>
      <c r="M141"/>
      <c r="O141"/>
      <c r="Q141"/>
      <c r="S141"/>
    </row>
    <row r="142" spans="1:19" x14ac:dyDescent="0.3">
      <c r="A142" s="70"/>
      <c r="C142"/>
      <c r="E142"/>
      <c r="G142"/>
      <c r="I142"/>
      <c r="K142"/>
      <c r="M142"/>
      <c r="O142"/>
      <c r="Q142"/>
      <c r="S142"/>
    </row>
    <row r="143" spans="1:19" x14ac:dyDescent="0.3">
      <c r="A143" s="70"/>
      <c r="C143"/>
      <c r="E143"/>
      <c r="G143"/>
      <c r="I143"/>
      <c r="K143"/>
      <c r="M143"/>
      <c r="O143"/>
      <c r="Q143"/>
      <c r="S143"/>
    </row>
    <row r="144" spans="1:19" x14ac:dyDescent="0.3">
      <c r="A144" s="70"/>
      <c r="C144"/>
      <c r="E144"/>
      <c r="G144"/>
      <c r="I144"/>
      <c r="K144"/>
      <c r="M144"/>
      <c r="O144"/>
      <c r="Q144"/>
      <c r="S144"/>
    </row>
    <row r="145" spans="1:19" x14ac:dyDescent="0.3">
      <c r="A145" s="70"/>
      <c r="C145"/>
      <c r="E145"/>
      <c r="G145"/>
      <c r="I145"/>
      <c r="K145"/>
      <c r="M145"/>
      <c r="O145"/>
      <c r="Q145"/>
      <c r="S145"/>
    </row>
    <row r="146" spans="1:19" x14ac:dyDescent="0.3">
      <c r="A146" s="70"/>
      <c r="C146"/>
      <c r="E146"/>
      <c r="G146"/>
      <c r="I146"/>
      <c r="K146"/>
      <c r="M146"/>
      <c r="O146"/>
      <c r="Q146"/>
      <c r="S146"/>
    </row>
    <row r="147" spans="1:19" x14ac:dyDescent="0.3">
      <c r="A147" s="70"/>
      <c r="C147"/>
      <c r="E147"/>
      <c r="G147"/>
      <c r="I147"/>
      <c r="K147"/>
      <c r="M147"/>
      <c r="O147"/>
      <c r="Q147"/>
      <c r="S147"/>
    </row>
    <row r="148" spans="1:19" x14ac:dyDescent="0.3">
      <c r="A148" s="70"/>
      <c r="C148"/>
      <c r="E148"/>
      <c r="G148"/>
      <c r="I148"/>
      <c r="K148"/>
      <c r="M148"/>
      <c r="O148"/>
      <c r="Q148"/>
      <c r="S148"/>
    </row>
    <row r="149" spans="1:19" x14ac:dyDescent="0.3">
      <c r="A149" s="70"/>
      <c r="C149"/>
      <c r="E149"/>
      <c r="G149"/>
      <c r="I149"/>
      <c r="K149"/>
      <c r="M149"/>
      <c r="O149"/>
      <c r="Q149"/>
      <c r="S149"/>
    </row>
    <row r="150" spans="1:19" x14ac:dyDescent="0.3">
      <c r="A150" s="70"/>
      <c r="C150"/>
      <c r="E150"/>
      <c r="G150"/>
      <c r="I150"/>
      <c r="K150"/>
      <c r="M150"/>
      <c r="O150"/>
      <c r="Q150"/>
      <c r="S150"/>
    </row>
    <row r="151" spans="1:19" x14ac:dyDescent="0.3">
      <c r="A151" s="70"/>
      <c r="C151"/>
      <c r="E151"/>
      <c r="G151"/>
      <c r="I151"/>
      <c r="K151"/>
      <c r="M151"/>
      <c r="O151"/>
      <c r="Q151"/>
      <c r="S151"/>
    </row>
    <row r="152" spans="1:19" x14ac:dyDescent="0.3">
      <c r="A152" s="70"/>
      <c r="C152"/>
      <c r="E152"/>
      <c r="G152"/>
      <c r="I152"/>
      <c r="K152"/>
      <c r="M152"/>
      <c r="O152"/>
      <c r="Q152"/>
      <c r="S152"/>
    </row>
    <row r="153" spans="1:19" x14ac:dyDescent="0.3">
      <c r="A153" s="70"/>
      <c r="C153"/>
      <c r="E153"/>
      <c r="G153"/>
      <c r="I153"/>
      <c r="K153"/>
      <c r="M153"/>
      <c r="O153"/>
      <c r="Q153"/>
      <c r="S153"/>
    </row>
    <row r="154" spans="1:19" x14ac:dyDescent="0.3">
      <c r="A154" s="70"/>
      <c r="C154"/>
      <c r="E154"/>
      <c r="G154"/>
      <c r="I154"/>
      <c r="K154"/>
      <c r="M154"/>
      <c r="O154"/>
      <c r="Q154"/>
      <c r="S154"/>
    </row>
    <row r="155" spans="1:19" x14ac:dyDescent="0.3">
      <c r="A155" s="70"/>
      <c r="C155"/>
      <c r="E155"/>
      <c r="G155"/>
      <c r="I155"/>
      <c r="K155"/>
      <c r="M155"/>
      <c r="O155"/>
      <c r="Q155"/>
      <c r="S155"/>
    </row>
    <row r="156" spans="1:19" x14ac:dyDescent="0.3">
      <c r="A156" s="70"/>
      <c r="C156"/>
      <c r="E156"/>
      <c r="G156"/>
      <c r="I156"/>
      <c r="K156"/>
      <c r="M156"/>
      <c r="O156"/>
      <c r="Q156"/>
      <c r="S156"/>
    </row>
    <row r="157" spans="1:19" x14ac:dyDescent="0.3">
      <c r="A157" s="70"/>
      <c r="C157"/>
      <c r="E157"/>
      <c r="G157"/>
      <c r="I157"/>
      <c r="K157"/>
      <c r="M157"/>
      <c r="O157"/>
      <c r="Q157"/>
      <c r="S157"/>
    </row>
    <row r="158" spans="1:19" x14ac:dyDescent="0.3">
      <c r="A158" s="70"/>
      <c r="C158"/>
      <c r="E158"/>
      <c r="G158"/>
      <c r="I158"/>
      <c r="K158"/>
      <c r="M158"/>
      <c r="O158"/>
      <c r="Q158"/>
      <c r="S158"/>
    </row>
    <row r="159" spans="1:19" x14ac:dyDescent="0.3">
      <c r="A159" s="70"/>
      <c r="C159"/>
      <c r="E159"/>
      <c r="G159"/>
      <c r="I159"/>
      <c r="K159"/>
      <c r="M159"/>
      <c r="O159"/>
      <c r="Q159"/>
      <c r="S159"/>
    </row>
    <row r="160" spans="1:19" x14ac:dyDescent="0.3">
      <c r="A160" s="70"/>
      <c r="C160"/>
      <c r="E160"/>
      <c r="G160"/>
      <c r="I160"/>
      <c r="K160"/>
      <c r="M160"/>
      <c r="O160"/>
      <c r="Q160"/>
      <c r="S160"/>
    </row>
    <row r="161" spans="1:19" x14ac:dyDescent="0.3">
      <c r="A161" s="70"/>
      <c r="C161"/>
      <c r="E161"/>
      <c r="G161"/>
      <c r="I161"/>
      <c r="K161"/>
      <c r="M161"/>
      <c r="O161"/>
      <c r="Q161"/>
      <c r="S161"/>
    </row>
    <row r="162" spans="1:19" x14ac:dyDescent="0.3">
      <c r="A162" s="70"/>
      <c r="C162"/>
      <c r="E162"/>
      <c r="G162"/>
      <c r="I162"/>
      <c r="K162"/>
      <c r="M162"/>
      <c r="O162"/>
      <c r="Q162"/>
      <c r="S162"/>
    </row>
    <row r="163" spans="1:19" x14ac:dyDescent="0.3">
      <c r="A163" s="70"/>
      <c r="C163"/>
      <c r="E163"/>
      <c r="G163"/>
      <c r="I163"/>
      <c r="K163"/>
      <c r="M163"/>
      <c r="O163"/>
      <c r="Q163"/>
      <c r="S163"/>
    </row>
    <row r="164" spans="1:19" x14ac:dyDescent="0.3">
      <c r="A164" s="70"/>
      <c r="C164"/>
      <c r="E164"/>
      <c r="G164"/>
      <c r="I164"/>
      <c r="K164"/>
      <c r="M164"/>
      <c r="O164"/>
      <c r="Q164"/>
      <c r="S164"/>
    </row>
    <row r="165" spans="1:19" x14ac:dyDescent="0.3">
      <c r="A165" s="70"/>
      <c r="C165"/>
      <c r="E165"/>
      <c r="G165"/>
      <c r="I165"/>
      <c r="K165"/>
      <c r="M165"/>
      <c r="O165"/>
      <c r="Q165"/>
      <c r="S165"/>
    </row>
    <row r="166" spans="1:19" x14ac:dyDescent="0.3">
      <c r="A166" s="70"/>
      <c r="C166"/>
      <c r="E166"/>
      <c r="G166"/>
      <c r="I166"/>
      <c r="K166"/>
      <c r="M166"/>
      <c r="O166"/>
      <c r="Q166"/>
      <c r="S166"/>
    </row>
    <row r="167" spans="1:19" x14ac:dyDescent="0.3">
      <c r="A167" s="70"/>
      <c r="C167"/>
      <c r="E167"/>
      <c r="G167"/>
      <c r="I167"/>
      <c r="K167"/>
      <c r="M167"/>
      <c r="O167"/>
      <c r="Q167"/>
      <c r="S167"/>
    </row>
    <row r="168" spans="1:19" x14ac:dyDescent="0.3">
      <c r="A168" s="70"/>
      <c r="C168"/>
      <c r="E168"/>
      <c r="G168"/>
      <c r="I168"/>
      <c r="K168"/>
      <c r="M168"/>
      <c r="O168"/>
      <c r="Q168"/>
      <c r="S168"/>
    </row>
    <row r="169" spans="1:19" x14ac:dyDescent="0.3">
      <c r="A169" s="70"/>
      <c r="C169"/>
      <c r="E169"/>
      <c r="G169"/>
      <c r="I169"/>
      <c r="K169"/>
      <c r="M169"/>
      <c r="O169"/>
      <c r="Q169"/>
      <c r="S169"/>
    </row>
    <row r="170" spans="1:19" x14ac:dyDescent="0.3">
      <c r="A170" s="70"/>
      <c r="C170"/>
      <c r="E170"/>
      <c r="G170"/>
      <c r="I170"/>
      <c r="K170"/>
      <c r="M170"/>
      <c r="O170"/>
      <c r="Q170"/>
      <c r="S170"/>
    </row>
    <row r="171" spans="1:19" x14ac:dyDescent="0.3">
      <c r="A171" s="70"/>
      <c r="C171"/>
      <c r="E171"/>
      <c r="G171"/>
      <c r="I171"/>
      <c r="K171"/>
      <c r="M171"/>
      <c r="O171"/>
      <c r="Q171"/>
      <c r="S171"/>
    </row>
    <row r="172" spans="1:19" x14ac:dyDescent="0.3">
      <c r="A172" s="70"/>
      <c r="C172"/>
      <c r="E172"/>
      <c r="G172"/>
      <c r="I172"/>
      <c r="K172"/>
      <c r="M172"/>
      <c r="O172"/>
      <c r="Q172"/>
      <c r="S172"/>
    </row>
    <row r="173" spans="1:19" x14ac:dyDescent="0.3">
      <c r="A173" s="70"/>
      <c r="C173"/>
      <c r="E173"/>
      <c r="G173"/>
      <c r="I173"/>
      <c r="K173"/>
      <c r="M173"/>
      <c r="O173"/>
      <c r="Q173"/>
      <c r="S173"/>
    </row>
    <row r="174" spans="1:19" x14ac:dyDescent="0.3">
      <c r="A174" s="70"/>
      <c r="C174"/>
      <c r="E174"/>
      <c r="G174"/>
      <c r="I174"/>
      <c r="K174"/>
      <c r="M174"/>
      <c r="O174"/>
      <c r="Q174"/>
      <c r="S174"/>
    </row>
    <row r="175" spans="1:19" x14ac:dyDescent="0.3">
      <c r="A175" s="70"/>
      <c r="C175"/>
      <c r="E175"/>
      <c r="G175"/>
      <c r="I175"/>
      <c r="K175"/>
      <c r="M175"/>
      <c r="O175"/>
      <c r="Q175"/>
      <c r="S175"/>
    </row>
    <row r="176" spans="1:19" x14ac:dyDescent="0.3">
      <c r="A176" s="70"/>
      <c r="C176"/>
      <c r="E176"/>
      <c r="G176"/>
      <c r="I176"/>
      <c r="K176"/>
      <c r="M176"/>
      <c r="O176"/>
      <c r="Q176"/>
      <c r="S176"/>
    </row>
    <row r="177" spans="1:19" x14ac:dyDescent="0.3">
      <c r="A177" s="70"/>
      <c r="C177"/>
      <c r="E177"/>
      <c r="G177"/>
      <c r="I177"/>
      <c r="K177"/>
      <c r="M177"/>
      <c r="O177"/>
      <c r="Q177"/>
      <c r="S177"/>
    </row>
    <row r="178" spans="1:19" x14ac:dyDescent="0.3">
      <c r="A178" s="70"/>
      <c r="C178"/>
      <c r="E178"/>
      <c r="G178"/>
      <c r="I178"/>
      <c r="K178"/>
      <c r="M178"/>
      <c r="O178"/>
      <c r="Q178"/>
      <c r="S178"/>
    </row>
    <row r="179" spans="1:19" x14ac:dyDescent="0.3">
      <c r="A179" s="70"/>
      <c r="C179"/>
      <c r="E179"/>
      <c r="G179"/>
      <c r="I179"/>
      <c r="K179"/>
      <c r="M179"/>
      <c r="O179"/>
      <c r="Q179"/>
      <c r="S179"/>
    </row>
    <row r="180" spans="1:19" x14ac:dyDescent="0.3">
      <c r="A180" s="70"/>
      <c r="C180"/>
      <c r="E180"/>
      <c r="G180"/>
      <c r="I180"/>
      <c r="K180"/>
      <c r="M180"/>
      <c r="O180"/>
      <c r="Q180"/>
      <c r="S180"/>
    </row>
    <row r="181" spans="1:19" x14ac:dyDescent="0.3">
      <c r="A181" s="70"/>
      <c r="C181"/>
      <c r="E181"/>
      <c r="G181"/>
      <c r="I181"/>
      <c r="K181"/>
      <c r="M181"/>
      <c r="O181"/>
      <c r="Q181"/>
      <c r="S181"/>
    </row>
    <row r="182" spans="1:19" x14ac:dyDescent="0.3">
      <c r="A182" s="70"/>
      <c r="C182"/>
      <c r="E182"/>
      <c r="G182"/>
      <c r="I182"/>
      <c r="K182"/>
      <c r="M182"/>
      <c r="O182"/>
      <c r="Q182"/>
      <c r="S182"/>
    </row>
    <row r="183" spans="1:19" x14ac:dyDescent="0.3">
      <c r="A183" s="70"/>
      <c r="C183"/>
      <c r="E183"/>
      <c r="G183"/>
      <c r="I183"/>
      <c r="K183"/>
      <c r="M183"/>
      <c r="O183"/>
      <c r="Q183"/>
      <c r="S183"/>
    </row>
    <row r="184" spans="1:19" x14ac:dyDescent="0.3">
      <c r="A184" s="70"/>
      <c r="C184"/>
      <c r="E184"/>
      <c r="G184"/>
      <c r="I184"/>
      <c r="K184"/>
      <c r="M184"/>
      <c r="O184"/>
      <c r="Q184"/>
      <c r="S184"/>
    </row>
    <row r="185" spans="1:19" x14ac:dyDescent="0.3">
      <c r="A185" s="70"/>
      <c r="C185"/>
      <c r="E185"/>
      <c r="G185"/>
      <c r="I185"/>
      <c r="K185"/>
      <c r="M185"/>
      <c r="O185"/>
      <c r="Q185"/>
      <c r="S185"/>
    </row>
    <row r="186" spans="1:19" x14ac:dyDescent="0.3">
      <c r="A186" s="70"/>
      <c r="C186"/>
      <c r="E186"/>
      <c r="G186"/>
      <c r="I186"/>
      <c r="K186"/>
      <c r="M186"/>
      <c r="O186"/>
      <c r="Q186"/>
      <c r="S186"/>
    </row>
    <row r="187" spans="1:19" x14ac:dyDescent="0.3">
      <c r="A187" s="70"/>
      <c r="C187"/>
      <c r="E187"/>
      <c r="G187"/>
      <c r="I187"/>
      <c r="K187"/>
      <c r="M187"/>
      <c r="O187"/>
      <c r="Q187"/>
      <c r="S187"/>
    </row>
    <row r="188" spans="1:19" x14ac:dyDescent="0.3">
      <c r="A188" s="70"/>
      <c r="C188"/>
      <c r="E188"/>
      <c r="G188"/>
      <c r="I188"/>
      <c r="K188"/>
      <c r="M188"/>
      <c r="O188"/>
      <c r="Q188"/>
      <c r="S188"/>
    </row>
    <row r="189" spans="1:19" x14ac:dyDescent="0.3">
      <c r="A189" s="70"/>
      <c r="C189"/>
      <c r="E189"/>
      <c r="G189"/>
      <c r="I189"/>
      <c r="K189"/>
      <c r="M189"/>
      <c r="O189"/>
      <c r="Q189"/>
      <c r="S189"/>
    </row>
    <row r="190" spans="1:19" x14ac:dyDescent="0.3">
      <c r="A190" s="70"/>
      <c r="C190"/>
      <c r="E190"/>
      <c r="G190"/>
      <c r="I190"/>
      <c r="K190"/>
      <c r="M190"/>
      <c r="O190"/>
      <c r="Q190"/>
      <c r="S190"/>
    </row>
    <row r="191" spans="1:19" x14ac:dyDescent="0.3">
      <c r="A191" s="70"/>
      <c r="C191"/>
      <c r="E191"/>
      <c r="G191"/>
      <c r="I191"/>
      <c r="K191"/>
      <c r="M191"/>
      <c r="O191"/>
      <c r="Q191"/>
      <c r="S191"/>
    </row>
    <row r="192" spans="1:19" x14ac:dyDescent="0.3">
      <c r="A192" s="70"/>
      <c r="C192"/>
      <c r="E192"/>
      <c r="G192"/>
      <c r="I192"/>
      <c r="K192"/>
      <c r="M192"/>
      <c r="O192"/>
      <c r="Q192"/>
      <c r="S192"/>
    </row>
    <row r="193" spans="1:19" x14ac:dyDescent="0.3">
      <c r="A193" s="70"/>
      <c r="C193"/>
      <c r="E193"/>
      <c r="G193"/>
      <c r="I193"/>
      <c r="K193"/>
      <c r="M193"/>
      <c r="O193"/>
      <c r="Q193"/>
      <c r="S193"/>
    </row>
    <row r="194" spans="1:19" x14ac:dyDescent="0.3">
      <c r="A194" s="70"/>
      <c r="C194"/>
      <c r="E194"/>
      <c r="G194"/>
      <c r="I194"/>
      <c r="K194"/>
      <c r="M194"/>
      <c r="O194"/>
      <c r="Q194"/>
      <c r="S194"/>
    </row>
    <row r="195" spans="1:19" x14ac:dyDescent="0.3">
      <c r="A195" s="70"/>
      <c r="C195"/>
      <c r="E195"/>
      <c r="G195"/>
      <c r="I195"/>
      <c r="K195"/>
      <c r="M195"/>
      <c r="O195"/>
      <c r="Q195"/>
      <c r="S195"/>
    </row>
    <row r="196" spans="1:19" x14ac:dyDescent="0.3">
      <c r="A196" s="70"/>
      <c r="C196"/>
      <c r="E196"/>
      <c r="G196"/>
      <c r="I196"/>
      <c r="K196"/>
      <c r="M196"/>
      <c r="O196"/>
      <c r="Q196"/>
      <c r="S196"/>
    </row>
    <row r="197" spans="1:19" x14ac:dyDescent="0.3">
      <c r="A197" s="70"/>
      <c r="C197"/>
      <c r="E197"/>
      <c r="G197"/>
      <c r="I197"/>
      <c r="K197"/>
      <c r="M197"/>
      <c r="O197"/>
      <c r="Q197"/>
      <c r="S197"/>
    </row>
    <row r="198" spans="1:19" x14ac:dyDescent="0.3">
      <c r="A198" s="70"/>
      <c r="C198"/>
      <c r="E198"/>
      <c r="G198"/>
      <c r="I198"/>
      <c r="K198"/>
      <c r="M198"/>
      <c r="O198"/>
      <c r="Q198"/>
      <c r="S198"/>
    </row>
    <row r="199" spans="1:19" x14ac:dyDescent="0.3">
      <c r="A199" s="70"/>
      <c r="C199"/>
      <c r="E199"/>
      <c r="G199"/>
      <c r="I199"/>
      <c r="K199"/>
      <c r="M199"/>
      <c r="O199"/>
      <c r="Q199"/>
      <c r="S199"/>
    </row>
    <row r="200" spans="1:19" x14ac:dyDescent="0.3">
      <c r="A200" s="70"/>
      <c r="C200"/>
      <c r="E200"/>
      <c r="G200"/>
      <c r="I200"/>
      <c r="K200"/>
      <c r="M200"/>
      <c r="O200"/>
      <c r="Q200"/>
      <c r="S200"/>
    </row>
    <row r="201" spans="1:19" x14ac:dyDescent="0.3">
      <c r="A201" s="70"/>
      <c r="C201"/>
      <c r="E201"/>
      <c r="G201"/>
      <c r="I201"/>
      <c r="K201"/>
      <c r="M201"/>
      <c r="O201"/>
      <c r="Q201"/>
      <c r="S201"/>
    </row>
    <row r="202" spans="1:19" x14ac:dyDescent="0.3">
      <c r="A202" s="70"/>
      <c r="C202"/>
      <c r="E202"/>
      <c r="G202"/>
      <c r="I202"/>
      <c r="K202"/>
      <c r="M202"/>
      <c r="O202"/>
      <c r="Q202"/>
      <c r="S202"/>
    </row>
    <row r="203" spans="1:19" x14ac:dyDescent="0.3">
      <c r="A203" s="70"/>
      <c r="C203"/>
      <c r="E203"/>
      <c r="G203"/>
      <c r="I203"/>
      <c r="K203"/>
      <c r="M203"/>
      <c r="O203"/>
      <c r="Q203"/>
      <c r="S203"/>
    </row>
    <row r="204" spans="1:19" x14ac:dyDescent="0.3">
      <c r="A204" s="70"/>
      <c r="C204"/>
      <c r="E204"/>
      <c r="G204"/>
      <c r="I204"/>
      <c r="K204"/>
      <c r="M204"/>
      <c r="O204"/>
      <c r="Q204"/>
      <c r="S204"/>
    </row>
    <row r="205" spans="1:19" x14ac:dyDescent="0.3">
      <c r="A205" s="70"/>
      <c r="C205"/>
      <c r="E205"/>
      <c r="G205"/>
      <c r="I205"/>
      <c r="K205"/>
      <c r="M205"/>
      <c r="O205"/>
      <c r="Q205"/>
      <c r="S205"/>
    </row>
    <row r="206" spans="1:19" x14ac:dyDescent="0.3">
      <c r="A206" s="70"/>
      <c r="C206"/>
      <c r="E206"/>
      <c r="G206"/>
      <c r="I206"/>
      <c r="K206"/>
      <c r="M206"/>
      <c r="O206"/>
      <c r="Q206"/>
      <c r="S206"/>
    </row>
    <row r="207" spans="1:19" x14ac:dyDescent="0.3">
      <c r="A207" s="70"/>
      <c r="C207"/>
      <c r="E207"/>
      <c r="G207"/>
      <c r="I207"/>
      <c r="K207"/>
      <c r="M207"/>
      <c r="O207"/>
      <c r="Q207"/>
      <c r="S207"/>
    </row>
    <row r="208" spans="1:19" x14ac:dyDescent="0.3">
      <c r="A208" s="70"/>
      <c r="C208"/>
      <c r="E208"/>
      <c r="G208"/>
      <c r="I208"/>
      <c r="K208"/>
      <c r="M208"/>
      <c r="O208"/>
      <c r="Q208"/>
      <c r="S208"/>
    </row>
    <row r="209" spans="1:19" x14ac:dyDescent="0.3">
      <c r="A209" s="70"/>
      <c r="C209"/>
      <c r="E209"/>
      <c r="G209"/>
      <c r="I209"/>
      <c r="K209"/>
      <c r="M209"/>
      <c r="O209"/>
      <c r="Q209"/>
      <c r="S209"/>
    </row>
    <row r="210" spans="1:19" x14ac:dyDescent="0.3">
      <c r="A210" s="70"/>
      <c r="C210"/>
      <c r="E210"/>
      <c r="G210"/>
      <c r="I210"/>
      <c r="K210"/>
      <c r="M210"/>
      <c r="O210"/>
      <c r="Q210"/>
      <c r="S210"/>
    </row>
    <row r="211" spans="1:19" x14ac:dyDescent="0.3">
      <c r="A211" s="70"/>
      <c r="C211"/>
      <c r="E211"/>
      <c r="G211"/>
      <c r="I211"/>
      <c r="K211"/>
      <c r="M211"/>
      <c r="O211"/>
      <c r="Q211"/>
      <c r="S211"/>
    </row>
    <row r="212" spans="1:19" x14ac:dyDescent="0.3">
      <c r="A212" s="70"/>
      <c r="C212"/>
      <c r="E212"/>
      <c r="G212"/>
      <c r="I212"/>
      <c r="K212"/>
      <c r="M212"/>
      <c r="O212"/>
      <c r="Q212"/>
      <c r="S212"/>
    </row>
    <row r="213" spans="1:19" x14ac:dyDescent="0.3">
      <c r="A213" s="70"/>
      <c r="C213"/>
      <c r="E213"/>
      <c r="G213"/>
      <c r="I213"/>
      <c r="K213"/>
      <c r="M213"/>
      <c r="O213"/>
      <c r="Q213"/>
      <c r="S213"/>
    </row>
    <row r="214" spans="1:19" x14ac:dyDescent="0.3">
      <c r="A214" s="70"/>
      <c r="C214"/>
      <c r="E214"/>
      <c r="G214"/>
      <c r="I214"/>
      <c r="K214"/>
      <c r="M214"/>
      <c r="O214"/>
      <c r="Q214"/>
      <c r="S214"/>
    </row>
    <row r="215" spans="1:19" x14ac:dyDescent="0.3">
      <c r="A215" s="70"/>
      <c r="C215"/>
      <c r="E215"/>
      <c r="G215"/>
      <c r="I215"/>
      <c r="K215"/>
      <c r="M215"/>
      <c r="O215"/>
      <c r="Q215"/>
      <c r="S215"/>
    </row>
    <row r="216" spans="1:19" x14ac:dyDescent="0.3">
      <c r="A216" s="70"/>
      <c r="C216"/>
      <c r="E216"/>
      <c r="G216"/>
      <c r="I216"/>
      <c r="K216"/>
      <c r="M216"/>
      <c r="O216"/>
      <c r="Q216"/>
      <c r="S216"/>
    </row>
    <row r="217" spans="1:19" x14ac:dyDescent="0.3">
      <c r="A217" s="70"/>
      <c r="C217"/>
      <c r="E217"/>
      <c r="G217"/>
      <c r="I217"/>
      <c r="K217"/>
      <c r="M217"/>
      <c r="O217"/>
      <c r="Q217"/>
      <c r="S217"/>
    </row>
    <row r="218" spans="1:19" x14ac:dyDescent="0.3">
      <c r="A218" s="70"/>
      <c r="C218"/>
      <c r="E218"/>
      <c r="G218"/>
      <c r="I218"/>
      <c r="K218"/>
      <c r="M218"/>
      <c r="O218"/>
      <c r="Q218"/>
      <c r="S218"/>
    </row>
    <row r="219" spans="1:19" x14ac:dyDescent="0.3">
      <c r="A219" s="70"/>
      <c r="C219"/>
      <c r="E219"/>
      <c r="G219"/>
      <c r="I219"/>
      <c r="K219"/>
      <c r="M219"/>
      <c r="O219"/>
      <c r="Q219"/>
      <c r="S219"/>
    </row>
    <row r="220" spans="1:19" x14ac:dyDescent="0.3">
      <c r="A220" s="70"/>
      <c r="C220"/>
      <c r="E220"/>
      <c r="G220"/>
      <c r="I220"/>
      <c r="K220"/>
      <c r="M220"/>
      <c r="O220"/>
      <c r="Q220"/>
      <c r="S220"/>
    </row>
    <row r="221" spans="1:19" x14ac:dyDescent="0.3">
      <c r="A221" s="70"/>
      <c r="C221"/>
      <c r="E221"/>
      <c r="G221"/>
      <c r="I221"/>
      <c r="K221"/>
      <c r="M221"/>
      <c r="O221"/>
      <c r="Q221"/>
      <c r="S221"/>
    </row>
    <row r="222" spans="1:19" x14ac:dyDescent="0.3">
      <c r="A222" s="70"/>
      <c r="C222"/>
      <c r="E222"/>
      <c r="G222"/>
      <c r="I222"/>
      <c r="K222"/>
      <c r="M222"/>
      <c r="O222"/>
      <c r="Q222"/>
      <c r="S222"/>
    </row>
    <row r="223" spans="1:19" x14ac:dyDescent="0.3">
      <c r="A223" s="70"/>
      <c r="C223"/>
      <c r="E223"/>
      <c r="G223"/>
      <c r="I223"/>
      <c r="K223"/>
      <c r="M223"/>
      <c r="O223"/>
      <c r="Q223"/>
      <c r="S223"/>
    </row>
    <row r="224" spans="1:19" x14ac:dyDescent="0.3">
      <c r="A224" s="70"/>
      <c r="C224"/>
      <c r="E224"/>
      <c r="G224"/>
      <c r="I224"/>
      <c r="K224"/>
      <c r="M224"/>
      <c r="O224"/>
      <c r="Q224"/>
      <c r="S224"/>
    </row>
    <row r="225" spans="1:19" x14ac:dyDescent="0.3">
      <c r="A225" s="70"/>
      <c r="C225"/>
      <c r="E225"/>
      <c r="G225"/>
      <c r="I225"/>
      <c r="K225"/>
      <c r="M225"/>
      <c r="O225"/>
      <c r="Q225"/>
      <c r="S225"/>
    </row>
    <row r="226" spans="1:19" x14ac:dyDescent="0.3">
      <c r="A226" s="70"/>
      <c r="C226"/>
      <c r="E226"/>
      <c r="G226"/>
      <c r="I226"/>
      <c r="K226"/>
      <c r="M226"/>
      <c r="O226"/>
      <c r="Q226"/>
      <c r="S226"/>
    </row>
    <row r="227" spans="1:19" x14ac:dyDescent="0.3">
      <c r="A227" s="70"/>
      <c r="C227"/>
      <c r="E227"/>
      <c r="G227"/>
      <c r="I227"/>
      <c r="K227"/>
      <c r="M227"/>
      <c r="O227"/>
      <c r="Q227"/>
      <c r="S227"/>
    </row>
    <row r="228" spans="1:19" x14ac:dyDescent="0.3">
      <c r="A228" s="70"/>
      <c r="C228"/>
      <c r="E228"/>
      <c r="G228"/>
      <c r="I228"/>
      <c r="K228"/>
      <c r="M228"/>
      <c r="O228"/>
      <c r="Q228"/>
      <c r="S228"/>
    </row>
    <row r="229" spans="1:19" x14ac:dyDescent="0.3">
      <c r="A229" s="70"/>
      <c r="C229"/>
      <c r="E229"/>
      <c r="G229"/>
      <c r="I229"/>
      <c r="K229"/>
      <c r="M229"/>
      <c r="O229"/>
      <c r="Q229"/>
      <c r="S229"/>
    </row>
    <row r="230" spans="1:19" x14ac:dyDescent="0.3">
      <c r="A230" s="70"/>
      <c r="C230"/>
      <c r="E230"/>
      <c r="G230"/>
      <c r="I230"/>
      <c r="K230"/>
      <c r="M230"/>
      <c r="O230"/>
      <c r="Q230"/>
      <c r="S230"/>
    </row>
    <row r="231" spans="1:19" x14ac:dyDescent="0.3">
      <c r="A231" s="70"/>
      <c r="C231"/>
      <c r="E231"/>
      <c r="G231"/>
      <c r="I231"/>
      <c r="K231"/>
      <c r="M231"/>
      <c r="O231"/>
      <c r="Q231"/>
      <c r="S231"/>
    </row>
    <row r="232" spans="1:19" x14ac:dyDescent="0.3">
      <c r="A232" s="70"/>
      <c r="C232"/>
      <c r="E232"/>
      <c r="G232"/>
      <c r="I232"/>
      <c r="K232"/>
      <c r="M232"/>
      <c r="O232"/>
      <c r="Q232"/>
      <c r="S232"/>
    </row>
    <row r="233" spans="1:19" x14ac:dyDescent="0.3">
      <c r="A233" s="70"/>
      <c r="C233"/>
      <c r="E233"/>
      <c r="G233"/>
      <c r="I233"/>
      <c r="K233"/>
      <c r="M233"/>
      <c r="O233"/>
      <c r="Q233"/>
      <c r="S233"/>
    </row>
    <row r="234" spans="1:19" x14ac:dyDescent="0.3">
      <c r="A234" s="70"/>
      <c r="C234"/>
      <c r="E234"/>
      <c r="G234"/>
      <c r="I234"/>
      <c r="K234"/>
      <c r="M234"/>
      <c r="O234"/>
      <c r="Q234"/>
      <c r="S234"/>
    </row>
    <row r="235" spans="1:19" x14ac:dyDescent="0.3">
      <c r="A235" s="70"/>
      <c r="C235"/>
      <c r="E235"/>
      <c r="G235"/>
      <c r="I235"/>
      <c r="K235"/>
      <c r="M235"/>
      <c r="O235"/>
      <c r="Q235"/>
      <c r="S235"/>
    </row>
    <row r="236" spans="1:19" x14ac:dyDescent="0.3">
      <c r="A236" s="70"/>
      <c r="C236"/>
      <c r="E236"/>
      <c r="G236"/>
      <c r="I236"/>
      <c r="K236"/>
      <c r="M236"/>
      <c r="O236"/>
      <c r="Q236"/>
      <c r="S236"/>
    </row>
    <row r="237" spans="1:19" x14ac:dyDescent="0.3">
      <c r="A237" s="70"/>
      <c r="C237"/>
      <c r="E237"/>
      <c r="G237"/>
      <c r="I237"/>
      <c r="K237"/>
      <c r="M237"/>
      <c r="O237"/>
      <c r="Q237"/>
      <c r="S237"/>
    </row>
    <row r="238" spans="1:19" x14ac:dyDescent="0.3">
      <c r="A238" s="70"/>
      <c r="C238"/>
      <c r="E238"/>
      <c r="G238"/>
      <c r="I238"/>
      <c r="K238"/>
      <c r="M238"/>
      <c r="O238"/>
      <c r="Q238"/>
      <c r="S238"/>
    </row>
    <row r="239" spans="1:19" x14ac:dyDescent="0.3">
      <c r="A239" s="70"/>
      <c r="C239"/>
      <c r="E239"/>
      <c r="G239"/>
      <c r="I239"/>
      <c r="K239"/>
      <c r="M239"/>
      <c r="O239"/>
      <c r="Q239"/>
      <c r="S239"/>
    </row>
    <row r="240" spans="1:19" x14ac:dyDescent="0.3">
      <c r="A240" s="70"/>
      <c r="C240"/>
      <c r="E240"/>
      <c r="G240"/>
      <c r="I240"/>
      <c r="K240"/>
      <c r="M240"/>
      <c r="O240"/>
      <c r="Q240"/>
      <c r="S240"/>
    </row>
    <row r="241" spans="1:19" x14ac:dyDescent="0.3">
      <c r="A241" s="70"/>
      <c r="C241"/>
      <c r="E241"/>
      <c r="G241"/>
      <c r="I241"/>
      <c r="K241"/>
      <c r="M241"/>
      <c r="O241"/>
      <c r="Q241"/>
      <c r="S241"/>
    </row>
    <row r="242" spans="1:19" x14ac:dyDescent="0.3">
      <c r="A242" s="70"/>
      <c r="C242"/>
      <c r="E242"/>
      <c r="G242"/>
      <c r="I242"/>
      <c r="K242"/>
      <c r="M242"/>
      <c r="O242"/>
      <c r="Q242"/>
      <c r="S242"/>
    </row>
    <row r="243" spans="1:19" x14ac:dyDescent="0.3">
      <c r="A243" s="70"/>
      <c r="C243"/>
      <c r="E243"/>
      <c r="G243"/>
      <c r="I243"/>
      <c r="K243"/>
      <c r="M243"/>
      <c r="O243"/>
      <c r="Q243"/>
      <c r="S243"/>
    </row>
    <row r="244" spans="1:19" x14ac:dyDescent="0.3">
      <c r="A244" s="70"/>
      <c r="C244"/>
      <c r="E244"/>
      <c r="G244"/>
      <c r="I244"/>
      <c r="K244"/>
      <c r="M244"/>
      <c r="O244"/>
      <c r="Q244"/>
      <c r="S244"/>
    </row>
    <row r="245" spans="1:19" x14ac:dyDescent="0.3">
      <c r="A245" s="70"/>
      <c r="C245"/>
      <c r="E245"/>
      <c r="G245"/>
      <c r="I245"/>
      <c r="K245"/>
      <c r="M245"/>
      <c r="O245"/>
      <c r="Q245"/>
      <c r="S245"/>
    </row>
    <row r="246" spans="1:19" x14ac:dyDescent="0.3">
      <c r="A246" s="70"/>
      <c r="C246"/>
      <c r="E246"/>
      <c r="G246"/>
      <c r="I246"/>
      <c r="K246"/>
      <c r="M246"/>
      <c r="O246"/>
      <c r="Q246"/>
      <c r="S246"/>
    </row>
    <row r="247" spans="1:19" x14ac:dyDescent="0.3">
      <c r="A247" s="70"/>
      <c r="C247"/>
      <c r="E247"/>
      <c r="G247"/>
      <c r="I247"/>
      <c r="K247"/>
      <c r="M247"/>
      <c r="O247"/>
      <c r="Q247"/>
      <c r="S247"/>
    </row>
    <row r="248" spans="1:19" x14ac:dyDescent="0.3">
      <c r="A248" s="70"/>
      <c r="C248"/>
      <c r="E248"/>
      <c r="G248"/>
      <c r="I248"/>
      <c r="K248"/>
      <c r="M248"/>
      <c r="O248"/>
      <c r="Q248"/>
      <c r="S248"/>
    </row>
    <row r="249" spans="1:19" x14ac:dyDescent="0.3">
      <c r="A249" s="70"/>
      <c r="C249"/>
      <c r="E249"/>
      <c r="G249"/>
      <c r="I249"/>
      <c r="K249"/>
      <c r="M249"/>
      <c r="O249"/>
      <c r="Q249"/>
      <c r="S249"/>
    </row>
    <row r="250" spans="1:19" x14ac:dyDescent="0.3">
      <c r="A250" s="70"/>
      <c r="C250"/>
      <c r="E250"/>
      <c r="G250"/>
      <c r="I250"/>
      <c r="K250"/>
      <c r="M250"/>
      <c r="O250"/>
      <c r="Q250"/>
      <c r="S250"/>
    </row>
    <row r="251" spans="1:19" x14ac:dyDescent="0.3">
      <c r="A251" s="70"/>
      <c r="C251"/>
      <c r="E251"/>
      <c r="G251"/>
      <c r="I251"/>
      <c r="K251"/>
      <c r="M251"/>
      <c r="O251"/>
      <c r="Q251"/>
      <c r="S251"/>
    </row>
    <row r="252" spans="1:19" x14ac:dyDescent="0.3">
      <c r="A252" s="70"/>
      <c r="C252"/>
      <c r="E252"/>
      <c r="G252"/>
      <c r="I252"/>
      <c r="K252"/>
      <c r="M252"/>
      <c r="O252"/>
      <c r="Q252"/>
      <c r="S252"/>
    </row>
    <row r="253" spans="1:19" x14ac:dyDescent="0.3">
      <c r="A253" s="70"/>
      <c r="C253"/>
      <c r="E253"/>
      <c r="G253"/>
      <c r="I253"/>
      <c r="K253"/>
      <c r="M253"/>
      <c r="O253"/>
      <c r="Q253"/>
      <c r="S253"/>
    </row>
    <row r="254" spans="1:19" x14ac:dyDescent="0.3">
      <c r="A254" s="70"/>
      <c r="C254"/>
      <c r="E254"/>
      <c r="G254"/>
      <c r="I254"/>
      <c r="K254"/>
      <c r="M254"/>
      <c r="O254"/>
      <c r="Q254"/>
      <c r="S254"/>
    </row>
    <row r="255" spans="1:19" x14ac:dyDescent="0.3">
      <c r="A255" s="70"/>
      <c r="C255"/>
      <c r="E255"/>
      <c r="G255"/>
      <c r="I255"/>
      <c r="K255"/>
      <c r="M255"/>
      <c r="O255"/>
      <c r="Q255"/>
      <c r="S255"/>
    </row>
    <row r="256" spans="1:19" x14ac:dyDescent="0.3">
      <c r="A256" s="70"/>
      <c r="C256"/>
      <c r="E256"/>
      <c r="G256"/>
      <c r="I256"/>
      <c r="K256"/>
      <c r="M256"/>
      <c r="O256"/>
      <c r="Q256"/>
      <c r="S256"/>
    </row>
    <row r="257" spans="1:19" x14ac:dyDescent="0.3">
      <c r="A257" s="70"/>
      <c r="C257"/>
      <c r="E257"/>
      <c r="G257"/>
      <c r="I257"/>
      <c r="K257"/>
      <c r="M257"/>
      <c r="O257"/>
      <c r="Q257"/>
      <c r="S257"/>
    </row>
    <row r="258" spans="1:19" x14ac:dyDescent="0.3">
      <c r="A258" s="70"/>
      <c r="C258"/>
      <c r="E258"/>
      <c r="G258"/>
      <c r="I258"/>
      <c r="K258"/>
      <c r="M258"/>
      <c r="O258"/>
      <c r="Q258"/>
      <c r="S258"/>
    </row>
    <row r="259" spans="1:19" x14ac:dyDescent="0.3">
      <c r="A259" s="70"/>
      <c r="C259"/>
      <c r="E259"/>
      <c r="G259"/>
      <c r="I259"/>
      <c r="K259"/>
      <c r="M259"/>
      <c r="O259"/>
      <c r="Q259"/>
      <c r="S259"/>
    </row>
    <row r="260" spans="1:19" x14ac:dyDescent="0.3">
      <c r="A260" s="70"/>
      <c r="C260"/>
      <c r="E260"/>
      <c r="G260"/>
      <c r="I260"/>
      <c r="K260"/>
      <c r="M260"/>
      <c r="O260"/>
      <c r="Q260"/>
      <c r="S260"/>
    </row>
    <row r="261" spans="1:19" x14ac:dyDescent="0.3">
      <c r="A261" s="70"/>
      <c r="C261"/>
      <c r="E261"/>
      <c r="G261"/>
      <c r="I261"/>
      <c r="K261"/>
      <c r="M261"/>
      <c r="O261"/>
      <c r="Q261"/>
      <c r="S261"/>
    </row>
    <row r="262" spans="1:19" x14ac:dyDescent="0.3">
      <c r="A262" s="70"/>
      <c r="C262"/>
      <c r="E262"/>
      <c r="G262"/>
      <c r="I262"/>
      <c r="K262"/>
      <c r="M262"/>
      <c r="O262"/>
      <c r="Q262"/>
      <c r="S262"/>
    </row>
    <row r="263" spans="1:19" x14ac:dyDescent="0.3">
      <c r="A263" s="70"/>
      <c r="C263"/>
      <c r="E263"/>
      <c r="G263"/>
      <c r="I263"/>
      <c r="K263"/>
      <c r="M263"/>
      <c r="O263"/>
      <c r="Q263"/>
      <c r="S263"/>
    </row>
    <row r="264" spans="1:19" x14ac:dyDescent="0.3">
      <c r="A264" s="70"/>
      <c r="C264"/>
      <c r="E264"/>
      <c r="G264"/>
      <c r="I264"/>
      <c r="K264"/>
      <c r="M264"/>
      <c r="O264"/>
      <c r="Q264"/>
      <c r="S264"/>
    </row>
    <row r="265" spans="1:19" x14ac:dyDescent="0.3">
      <c r="A265" s="70"/>
      <c r="C265"/>
      <c r="E265"/>
      <c r="G265"/>
      <c r="I265"/>
      <c r="K265"/>
      <c r="M265"/>
      <c r="O265"/>
      <c r="Q265"/>
      <c r="S265"/>
    </row>
    <row r="266" spans="1:19" x14ac:dyDescent="0.3">
      <c r="A266" s="70"/>
      <c r="C266"/>
      <c r="E266"/>
      <c r="G266"/>
      <c r="I266"/>
      <c r="K266"/>
      <c r="M266"/>
      <c r="O266"/>
      <c r="Q266"/>
      <c r="S266"/>
    </row>
    <row r="267" spans="1:19" x14ac:dyDescent="0.3">
      <c r="A267" s="70"/>
      <c r="C267"/>
      <c r="E267"/>
      <c r="G267"/>
      <c r="I267"/>
      <c r="K267"/>
      <c r="M267"/>
      <c r="O267"/>
      <c r="Q267"/>
      <c r="S267"/>
    </row>
    <row r="268" spans="1:19" x14ac:dyDescent="0.3">
      <c r="A268" s="70"/>
      <c r="C268"/>
      <c r="E268"/>
      <c r="G268"/>
      <c r="I268"/>
      <c r="K268"/>
      <c r="M268"/>
      <c r="O268"/>
      <c r="Q268"/>
      <c r="S268"/>
    </row>
    <row r="269" spans="1:19" x14ac:dyDescent="0.3">
      <c r="A269" s="70"/>
      <c r="C269"/>
      <c r="E269"/>
      <c r="G269"/>
      <c r="I269"/>
      <c r="K269"/>
      <c r="M269"/>
      <c r="O269"/>
      <c r="Q269"/>
      <c r="S269"/>
    </row>
    <row r="270" spans="1:19" x14ac:dyDescent="0.3">
      <c r="A270" s="70"/>
      <c r="C270"/>
      <c r="E270"/>
      <c r="G270"/>
      <c r="I270"/>
      <c r="K270"/>
      <c r="M270"/>
      <c r="O270"/>
      <c r="Q270"/>
      <c r="S270"/>
    </row>
    <row r="271" spans="1:19" x14ac:dyDescent="0.3">
      <c r="A271" s="70"/>
      <c r="C271"/>
      <c r="E271"/>
      <c r="G271"/>
      <c r="I271"/>
      <c r="K271"/>
      <c r="M271"/>
      <c r="O271"/>
      <c r="Q271"/>
      <c r="S271"/>
    </row>
    <row r="272" spans="1:19" x14ac:dyDescent="0.3">
      <c r="A272" s="70"/>
      <c r="C272"/>
      <c r="E272"/>
      <c r="G272"/>
      <c r="I272"/>
      <c r="K272"/>
      <c r="M272"/>
      <c r="O272"/>
      <c r="Q272"/>
      <c r="S272"/>
    </row>
    <row r="273" spans="1:19" x14ac:dyDescent="0.3">
      <c r="A273" s="70"/>
      <c r="C273"/>
      <c r="E273"/>
      <c r="G273"/>
      <c r="I273"/>
      <c r="K273"/>
      <c r="M273"/>
      <c r="O273"/>
      <c r="Q273"/>
      <c r="S273"/>
    </row>
    <row r="274" spans="1:19" x14ac:dyDescent="0.3">
      <c r="A274" s="70"/>
      <c r="C274"/>
      <c r="E274"/>
      <c r="G274"/>
      <c r="I274"/>
      <c r="K274"/>
      <c r="M274"/>
      <c r="O274"/>
      <c r="Q274"/>
      <c r="S274"/>
    </row>
    <row r="275" spans="1:19" x14ac:dyDescent="0.3">
      <c r="A275" s="70"/>
      <c r="C275"/>
      <c r="E275"/>
      <c r="G275"/>
      <c r="I275"/>
      <c r="K275"/>
      <c r="M275"/>
      <c r="O275"/>
      <c r="Q275"/>
      <c r="S275"/>
    </row>
    <row r="276" spans="1:19" x14ac:dyDescent="0.3">
      <c r="A276" s="70"/>
      <c r="C276"/>
      <c r="E276"/>
      <c r="G276"/>
      <c r="I276"/>
      <c r="K276"/>
      <c r="M276"/>
      <c r="O276"/>
      <c r="Q276"/>
      <c r="S276"/>
    </row>
    <row r="277" spans="1:19" x14ac:dyDescent="0.3">
      <c r="A277" s="70"/>
      <c r="C277"/>
      <c r="E277"/>
      <c r="G277"/>
      <c r="I277"/>
      <c r="K277"/>
      <c r="M277"/>
      <c r="O277"/>
      <c r="Q277"/>
      <c r="S277"/>
    </row>
    <row r="278" spans="1:19" x14ac:dyDescent="0.3">
      <c r="A278" s="70"/>
      <c r="C278"/>
      <c r="E278"/>
      <c r="G278"/>
      <c r="I278"/>
      <c r="K278"/>
      <c r="M278"/>
      <c r="O278"/>
      <c r="Q278"/>
      <c r="S278"/>
    </row>
    <row r="279" spans="1:19" x14ac:dyDescent="0.3">
      <c r="A279" s="70"/>
      <c r="C279"/>
      <c r="E279"/>
      <c r="G279"/>
      <c r="I279"/>
      <c r="K279"/>
      <c r="M279"/>
      <c r="O279"/>
      <c r="Q279"/>
      <c r="S279"/>
    </row>
    <row r="280" spans="1:19" x14ac:dyDescent="0.3">
      <c r="A280" s="70"/>
      <c r="C280"/>
      <c r="E280"/>
      <c r="G280"/>
      <c r="I280"/>
      <c r="K280"/>
      <c r="M280"/>
      <c r="O280"/>
      <c r="Q280"/>
      <c r="S280"/>
    </row>
    <row r="281" spans="1:19" x14ac:dyDescent="0.3">
      <c r="A281" s="70"/>
      <c r="C281"/>
      <c r="E281"/>
      <c r="G281"/>
      <c r="I281"/>
      <c r="K281"/>
      <c r="M281"/>
      <c r="O281"/>
      <c r="Q281"/>
      <c r="S281"/>
    </row>
    <row r="282" spans="1:19" x14ac:dyDescent="0.3">
      <c r="A282" s="70"/>
      <c r="C282"/>
      <c r="E282"/>
      <c r="G282"/>
      <c r="I282"/>
      <c r="K282"/>
      <c r="M282"/>
      <c r="O282"/>
      <c r="Q282"/>
      <c r="S282"/>
    </row>
    <row r="283" spans="1:19" x14ac:dyDescent="0.3">
      <c r="A283" s="70"/>
      <c r="C283"/>
      <c r="E283"/>
      <c r="G283"/>
      <c r="I283"/>
      <c r="K283"/>
      <c r="M283"/>
      <c r="O283"/>
      <c r="Q283"/>
      <c r="S283"/>
    </row>
    <row r="284" spans="1:19" x14ac:dyDescent="0.3">
      <c r="A284" s="70"/>
      <c r="C284"/>
      <c r="E284"/>
      <c r="G284"/>
      <c r="I284"/>
      <c r="K284"/>
      <c r="M284"/>
      <c r="O284"/>
      <c r="Q284"/>
      <c r="S284"/>
    </row>
    <row r="285" spans="1:19" x14ac:dyDescent="0.3">
      <c r="A285" s="70"/>
      <c r="C285"/>
      <c r="E285"/>
      <c r="G285"/>
      <c r="I285"/>
      <c r="K285"/>
      <c r="M285"/>
      <c r="O285"/>
      <c r="Q285"/>
      <c r="S285"/>
    </row>
    <row r="286" spans="1:19" x14ac:dyDescent="0.3">
      <c r="A286" s="70"/>
      <c r="C286"/>
      <c r="E286"/>
      <c r="G286"/>
      <c r="I286"/>
      <c r="K286"/>
      <c r="M286"/>
      <c r="O286"/>
      <c r="Q286"/>
      <c r="S286"/>
    </row>
    <row r="287" spans="1:19" x14ac:dyDescent="0.3">
      <c r="A287" s="70"/>
      <c r="C287"/>
      <c r="E287"/>
      <c r="G287"/>
      <c r="I287"/>
      <c r="K287"/>
      <c r="M287"/>
      <c r="O287"/>
      <c r="Q287"/>
      <c r="S287"/>
    </row>
    <row r="288" spans="1:19" x14ac:dyDescent="0.3">
      <c r="A288" s="70"/>
      <c r="C288"/>
      <c r="E288"/>
      <c r="G288"/>
      <c r="I288"/>
      <c r="K288"/>
      <c r="M288"/>
      <c r="O288"/>
      <c r="Q288"/>
      <c r="S288"/>
    </row>
    <row r="289" spans="1:19" x14ac:dyDescent="0.3">
      <c r="A289" s="70"/>
      <c r="C289"/>
      <c r="E289"/>
      <c r="G289"/>
      <c r="I289"/>
      <c r="K289"/>
      <c r="M289"/>
      <c r="O289"/>
      <c r="Q289"/>
      <c r="S289"/>
    </row>
    <row r="290" spans="1:19" x14ac:dyDescent="0.3">
      <c r="A290" s="70"/>
      <c r="C290"/>
      <c r="E290"/>
      <c r="G290"/>
      <c r="I290"/>
      <c r="K290"/>
      <c r="M290"/>
      <c r="O290"/>
      <c r="Q290"/>
      <c r="S290"/>
    </row>
    <row r="291" spans="1:19" x14ac:dyDescent="0.3">
      <c r="A291" s="70"/>
      <c r="C291"/>
      <c r="E291"/>
      <c r="G291"/>
      <c r="I291"/>
      <c r="K291"/>
      <c r="M291"/>
      <c r="O291"/>
      <c r="Q291"/>
      <c r="S291"/>
    </row>
    <row r="292" spans="1:19" x14ac:dyDescent="0.3">
      <c r="A292" s="70"/>
      <c r="C292"/>
      <c r="E292"/>
      <c r="G292"/>
      <c r="I292"/>
      <c r="K292"/>
      <c r="M292"/>
      <c r="O292"/>
      <c r="Q292"/>
      <c r="S292"/>
    </row>
    <row r="293" spans="1:19" x14ac:dyDescent="0.3">
      <c r="A293" s="70"/>
      <c r="C293"/>
      <c r="E293"/>
      <c r="G293"/>
      <c r="I293"/>
      <c r="K293"/>
      <c r="M293"/>
      <c r="O293"/>
      <c r="Q293"/>
      <c r="S293"/>
    </row>
    <row r="294" spans="1:19" x14ac:dyDescent="0.3">
      <c r="A294" s="70"/>
      <c r="C294"/>
      <c r="E294"/>
      <c r="G294"/>
      <c r="I294"/>
      <c r="K294"/>
      <c r="M294"/>
      <c r="O294"/>
      <c r="Q294"/>
      <c r="S294"/>
    </row>
    <row r="295" spans="1:19" x14ac:dyDescent="0.3">
      <c r="A295" s="70"/>
      <c r="C295"/>
      <c r="E295"/>
      <c r="G295"/>
      <c r="I295"/>
      <c r="K295"/>
      <c r="M295"/>
      <c r="O295"/>
      <c r="Q295"/>
      <c r="S295"/>
    </row>
    <row r="296" spans="1:19" x14ac:dyDescent="0.3">
      <c r="A296" s="70"/>
      <c r="C296"/>
      <c r="E296"/>
      <c r="G296"/>
      <c r="I296"/>
      <c r="K296"/>
      <c r="M296"/>
      <c r="O296"/>
      <c r="Q296"/>
      <c r="S296"/>
    </row>
    <row r="297" spans="1:19" x14ac:dyDescent="0.3">
      <c r="A297" s="70"/>
      <c r="C297"/>
      <c r="E297"/>
      <c r="G297"/>
      <c r="I297"/>
      <c r="K297"/>
      <c r="M297"/>
      <c r="O297"/>
      <c r="Q297"/>
      <c r="S297"/>
    </row>
    <row r="298" spans="1:19" x14ac:dyDescent="0.3">
      <c r="A298" s="70"/>
      <c r="C298"/>
      <c r="E298"/>
      <c r="G298"/>
      <c r="I298"/>
      <c r="K298"/>
      <c r="M298"/>
      <c r="O298"/>
      <c r="Q298"/>
      <c r="S298"/>
    </row>
    <row r="299" spans="1:19" x14ac:dyDescent="0.3">
      <c r="A299" s="70"/>
      <c r="C299"/>
      <c r="E299"/>
      <c r="G299"/>
      <c r="I299"/>
      <c r="K299"/>
      <c r="M299"/>
      <c r="O299"/>
      <c r="Q299"/>
      <c r="S299"/>
    </row>
    <row r="300" spans="1:19" x14ac:dyDescent="0.3">
      <c r="A300" s="70"/>
      <c r="C300"/>
      <c r="E300"/>
      <c r="G300"/>
      <c r="I300"/>
      <c r="K300"/>
      <c r="M300"/>
      <c r="O300"/>
      <c r="Q300"/>
      <c r="S300"/>
    </row>
    <row r="301" spans="1:19" x14ac:dyDescent="0.3">
      <c r="A301" s="70"/>
      <c r="C301"/>
      <c r="E301"/>
      <c r="G301"/>
      <c r="I301"/>
      <c r="K301"/>
      <c r="M301"/>
      <c r="O301"/>
      <c r="Q301"/>
      <c r="S301"/>
    </row>
    <row r="302" spans="1:19" x14ac:dyDescent="0.3">
      <c r="A302" s="70"/>
      <c r="C302"/>
      <c r="E302"/>
      <c r="G302"/>
      <c r="I302"/>
      <c r="K302"/>
      <c r="M302"/>
      <c r="O302"/>
      <c r="Q302"/>
      <c r="S302"/>
    </row>
    <row r="303" spans="1:19" x14ac:dyDescent="0.3">
      <c r="A303" s="70"/>
      <c r="C303"/>
      <c r="E303"/>
      <c r="G303"/>
      <c r="I303"/>
      <c r="K303"/>
      <c r="M303"/>
      <c r="O303"/>
      <c r="Q303"/>
      <c r="S303"/>
    </row>
    <row r="304" spans="1:19" x14ac:dyDescent="0.3">
      <c r="A304" s="70"/>
      <c r="C304"/>
      <c r="E304"/>
      <c r="G304"/>
      <c r="I304"/>
      <c r="K304"/>
      <c r="M304"/>
      <c r="O304"/>
      <c r="Q304"/>
      <c r="S304"/>
    </row>
    <row r="305" spans="1:19" x14ac:dyDescent="0.3">
      <c r="A305" s="70"/>
      <c r="C305"/>
      <c r="E305"/>
      <c r="G305"/>
      <c r="I305"/>
      <c r="K305"/>
      <c r="M305"/>
      <c r="O305"/>
      <c r="Q305"/>
      <c r="S305"/>
    </row>
    <row r="306" spans="1:19" x14ac:dyDescent="0.3">
      <c r="A306" s="70"/>
      <c r="C306"/>
      <c r="E306"/>
      <c r="G306"/>
      <c r="I306"/>
      <c r="K306"/>
      <c r="M306"/>
      <c r="O306"/>
      <c r="Q306"/>
      <c r="S306"/>
    </row>
    <row r="307" spans="1:19" x14ac:dyDescent="0.3">
      <c r="A307" s="70"/>
      <c r="C307"/>
      <c r="E307"/>
      <c r="G307"/>
      <c r="I307"/>
      <c r="K307"/>
      <c r="M307"/>
      <c r="O307"/>
      <c r="Q307"/>
      <c r="S307"/>
    </row>
    <row r="308" spans="1:19" x14ac:dyDescent="0.3">
      <c r="A308" s="70"/>
      <c r="C308"/>
      <c r="E308"/>
      <c r="G308"/>
      <c r="I308"/>
      <c r="K308"/>
      <c r="M308"/>
      <c r="O308"/>
      <c r="Q308"/>
      <c r="S308"/>
    </row>
    <row r="309" spans="1:19" x14ac:dyDescent="0.3">
      <c r="A309" s="70"/>
      <c r="C309"/>
      <c r="E309"/>
      <c r="G309"/>
      <c r="I309"/>
      <c r="K309"/>
      <c r="M309"/>
      <c r="O309"/>
      <c r="Q309"/>
      <c r="S309"/>
    </row>
    <row r="310" spans="1:19" x14ac:dyDescent="0.3">
      <c r="A310" s="70"/>
      <c r="C310"/>
      <c r="E310"/>
      <c r="G310"/>
      <c r="I310"/>
      <c r="K310"/>
      <c r="M310"/>
      <c r="O310"/>
      <c r="Q310"/>
      <c r="S310"/>
    </row>
    <row r="311" spans="1:19" x14ac:dyDescent="0.3">
      <c r="A311" s="70"/>
      <c r="C311"/>
      <c r="E311"/>
      <c r="G311"/>
      <c r="I311"/>
      <c r="K311"/>
      <c r="M311"/>
      <c r="O311"/>
      <c r="Q311"/>
      <c r="S311"/>
    </row>
    <row r="312" spans="1:19" x14ac:dyDescent="0.3">
      <c r="A312" s="70"/>
      <c r="C312"/>
      <c r="E312"/>
      <c r="G312"/>
      <c r="I312"/>
      <c r="K312"/>
      <c r="M312"/>
      <c r="O312"/>
      <c r="Q312"/>
      <c r="S312"/>
    </row>
    <row r="313" spans="1:19" x14ac:dyDescent="0.3">
      <c r="A313" s="70"/>
      <c r="C313"/>
      <c r="E313"/>
      <c r="G313"/>
      <c r="I313"/>
      <c r="K313"/>
      <c r="M313"/>
      <c r="O313"/>
      <c r="Q313"/>
      <c r="S313"/>
    </row>
    <row r="314" spans="1:19" x14ac:dyDescent="0.3">
      <c r="A314" s="70"/>
      <c r="C314"/>
      <c r="E314"/>
      <c r="G314"/>
      <c r="I314"/>
      <c r="K314"/>
      <c r="M314"/>
      <c r="O314"/>
      <c r="Q314"/>
      <c r="S314"/>
    </row>
    <row r="315" spans="1:19" x14ac:dyDescent="0.3">
      <c r="A315" s="70"/>
      <c r="C315"/>
      <c r="E315"/>
      <c r="G315"/>
      <c r="I315"/>
      <c r="K315"/>
      <c r="M315"/>
      <c r="O315"/>
      <c r="Q315"/>
      <c r="S315"/>
    </row>
    <row r="316" spans="1:19" x14ac:dyDescent="0.3">
      <c r="A316" s="70"/>
      <c r="C316"/>
      <c r="E316"/>
      <c r="G316"/>
      <c r="I316"/>
      <c r="K316"/>
      <c r="M316"/>
      <c r="O316"/>
      <c r="Q316"/>
      <c r="S316"/>
    </row>
    <row r="317" spans="1:19" x14ac:dyDescent="0.3">
      <c r="A317" s="70"/>
      <c r="C317"/>
      <c r="E317"/>
      <c r="G317"/>
      <c r="I317"/>
      <c r="K317"/>
      <c r="M317"/>
      <c r="O317"/>
      <c r="Q317"/>
      <c r="S317"/>
    </row>
    <row r="318" spans="1:19" x14ac:dyDescent="0.3">
      <c r="A318" s="70"/>
      <c r="C318"/>
      <c r="E318"/>
      <c r="G318"/>
      <c r="I318"/>
      <c r="K318"/>
      <c r="M318"/>
      <c r="O318"/>
      <c r="Q318"/>
      <c r="S318"/>
    </row>
    <row r="319" spans="1:19" x14ac:dyDescent="0.3">
      <c r="A319" s="70"/>
      <c r="C319"/>
      <c r="E319"/>
      <c r="G319"/>
      <c r="I319"/>
      <c r="K319"/>
      <c r="M319"/>
      <c r="O319"/>
      <c r="Q319"/>
      <c r="S319"/>
    </row>
    <row r="320" spans="1:19" x14ac:dyDescent="0.3">
      <c r="A320" s="70"/>
      <c r="C320"/>
      <c r="E320"/>
      <c r="G320"/>
      <c r="I320"/>
      <c r="K320"/>
      <c r="M320"/>
      <c r="O320"/>
      <c r="Q320"/>
      <c r="S320"/>
    </row>
    <row r="321" spans="1:19" x14ac:dyDescent="0.3">
      <c r="A321" s="70"/>
      <c r="C321"/>
      <c r="E321"/>
      <c r="G321"/>
      <c r="I321"/>
      <c r="K321"/>
      <c r="M321"/>
      <c r="O321"/>
      <c r="Q321"/>
      <c r="S321"/>
    </row>
    <row r="322" spans="1:19" x14ac:dyDescent="0.3">
      <c r="A322" s="70"/>
      <c r="C322"/>
      <c r="E322"/>
      <c r="G322"/>
      <c r="I322"/>
      <c r="K322"/>
      <c r="M322"/>
      <c r="O322"/>
      <c r="Q322"/>
      <c r="S322"/>
    </row>
    <row r="323" spans="1:19" x14ac:dyDescent="0.3">
      <c r="A323" s="70"/>
      <c r="C323"/>
      <c r="E323"/>
      <c r="G323"/>
      <c r="I323"/>
      <c r="K323"/>
      <c r="M323"/>
      <c r="O323"/>
      <c r="Q323"/>
      <c r="S323"/>
    </row>
    <row r="324" spans="1:19" x14ac:dyDescent="0.3">
      <c r="A324" s="70"/>
      <c r="C324"/>
      <c r="E324"/>
      <c r="G324"/>
      <c r="I324"/>
      <c r="K324"/>
      <c r="M324"/>
      <c r="O324"/>
      <c r="Q324"/>
      <c r="S324"/>
    </row>
    <row r="325" spans="1:19" x14ac:dyDescent="0.3">
      <c r="A325" s="70"/>
      <c r="C325"/>
      <c r="E325"/>
      <c r="G325"/>
      <c r="I325"/>
      <c r="K325"/>
      <c r="M325"/>
      <c r="O325"/>
      <c r="Q325"/>
      <c r="S325"/>
    </row>
    <row r="326" spans="1:19" x14ac:dyDescent="0.3">
      <c r="A326" s="70"/>
      <c r="C326"/>
      <c r="E326"/>
      <c r="G326"/>
      <c r="I326"/>
      <c r="K326"/>
      <c r="M326"/>
      <c r="O326"/>
      <c r="Q326"/>
      <c r="S326"/>
    </row>
    <row r="327" spans="1:19" x14ac:dyDescent="0.3">
      <c r="A327" s="70"/>
      <c r="C327"/>
      <c r="E327"/>
      <c r="G327"/>
      <c r="I327"/>
      <c r="K327"/>
      <c r="M327"/>
      <c r="O327"/>
      <c r="Q327"/>
      <c r="S327"/>
    </row>
    <row r="328" spans="1:19" x14ac:dyDescent="0.3">
      <c r="A328" s="70"/>
      <c r="C328"/>
      <c r="E328"/>
      <c r="G328"/>
      <c r="I328"/>
      <c r="K328"/>
      <c r="M328"/>
      <c r="O328"/>
      <c r="Q328"/>
      <c r="S328"/>
    </row>
    <row r="329" spans="1:19" x14ac:dyDescent="0.3">
      <c r="A329" s="70"/>
      <c r="C329"/>
      <c r="E329"/>
      <c r="G329"/>
      <c r="I329"/>
      <c r="K329"/>
      <c r="M329"/>
      <c r="O329"/>
      <c r="Q329"/>
      <c r="S329"/>
    </row>
    <row r="330" spans="1:19" x14ac:dyDescent="0.3">
      <c r="A330" s="70"/>
      <c r="C330"/>
      <c r="E330"/>
      <c r="G330"/>
      <c r="I330"/>
      <c r="K330"/>
      <c r="M330"/>
      <c r="O330"/>
      <c r="Q330"/>
      <c r="S330"/>
    </row>
    <row r="331" spans="1:19" x14ac:dyDescent="0.3">
      <c r="A331" s="70"/>
      <c r="C331"/>
      <c r="E331"/>
      <c r="G331"/>
      <c r="I331"/>
      <c r="K331"/>
      <c r="M331"/>
      <c r="O331"/>
      <c r="Q331"/>
      <c r="S331"/>
    </row>
    <row r="332" spans="1:19" x14ac:dyDescent="0.3">
      <c r="A332" s="70"/>
      <c r="C332"/>
      <c r="E332"/>
      <c r="G332"/>
      <c r="I332"/>
      <c r="K332"/>
      <c r="M332"/>
      <c r="O332"/>
      <c r="Q332"/>
      <c r="S332"/>
    </row>
    <row r="333" spans="1:19" x14ac:dyDescent="0.3">
      <c r="A333" s="70"/>
      <c r="C333"/>
      <c r="E333"/>
      <c r="G333"/>
      <c r="I333"/>
      <c r="K333"/>
      <c r="M333"/>
      <c r="O333"/>
      <c r="Q333"/>
      <c r="S333"/>
    </row>
    <row r="334" spans="1:19" x14ac:dyDescent="0.3">
      <c r="A334" s="70"/>
      <c r="C334"/>
      <c r="E334"/>
      <c r="G334"/>
      <c r="I334"/>
      <c r="K334"/>
      <c r="M334"/>
      <c r="O334"/>
      <c r="Q334"/>
      <c r="S334"/>
    </row>
    <row r="335" spans="1:19" x14ac:dyDescent="0.3">
      <c r="A335" s="70"/>
      <c r="C335"/>
      <c r="E335"/>
      <c r="G335"/>
      <c r="I335"/>
      <c r="K335"/>
      <c r="M335"/>
      <c r="O335"/>
      <c r="Q335"/>
      <c r="S335"/>
    </row>
    <row r="336" spans="1:19" x14ac:dyDescent="0.3">
      <c r="A336" s="70"/>
      <c r="C336"/>
      <c r="E336"/>
      <c r="G336"/>
      <c r="I336"/>
      <c r="K336"/>
      <c r="M336"/>
      <c r="O336"/>
      <c r="Q336"/>
      <c r="S336"/>
    </row>
    <row r="337" spans="1:19" x14ac:dyDescent="0.3">
      <c r="A337" s="70"/>
      <c r="C337"/>
      <c r="E337"/>
      <c r="G337"/>
      <c r="I337"/>
      <c r="K337"/>
      <c r="M337"/>
      <c r="O337"/>
      <c r="Q337"/>
      <c r="S337"/>
    </row>
    <row r="338" spans="1:19" x14ac:dyDescent="0.3">
      <c r="A338" s="70"/>
      <c r="C338"/>
      <c r="E338"/>
      <c r="G338"/>
      <c r="I338"/>
      <c r="K338"/>
      <c r="M338"/>
      <c r="O338"/>
      <c r="Q338"/>
      <c r="S338"/>
    </row>
    <row r="339" spans="1:19" x14ac:dyDescent="0.3">
      <c r="A339" s="70"/>
      <c r="C339"/>
      <c r="E339"/>
      <c r="G339"/>
      <c r="I339"/>
      <c r="K339"/>
      <c r="M339"/>
      <c r="O339"/>
      <c r="Q339"/>
      <c r="S339"/>
    </row>
    <row r="340" spans="1:19" x14ac:dyDescent="0.3">
      <c r="A340" s="70"/>
      <c r="C340"/>
      <c r="E340"/>
      <c r="G340"/>
      <c r="I340"/>
      <c r="K340"/>
      <c r="M340"/>
      <c r="O340"/>
      <c r="Q340"/>
      <c r="S340"/>
    </row>
    <row r="341" spans="1:19" x14ac:dyDescent="0.3">
      <c r="A341" s="70"/>
      <c r="C341"/>
      <c r="E341"/>
      <c r="G341"/>
      <c r="I341"/>
      <c r="K341"/>
      <c r="M341"/>
      <c r="O341"/>
      <c r="Q341"/>
      <c r="S341"/>
    </row>
    <row r="342" spans="1:19" x14ac:dyDescent="0.3">
      <c r="A342" s="70"/>
      <c r="C342"/>
      <c r="E342"/>
      <c r="G342"/>
      <c r="I342"/>
      <c r="K342"/>
      <c r="M342"/>
      <c r="O342"/>
      <c r="Q342"/>
      <c r="S342"/>
    </row>
    <row r="343" spans="1:19" x14ac:dyDescent="0.3">
      <c r="A343" s="70"/>
      <c r="C343"/>
      <c r="E343"/>
      <c r="G343"/>
      <c r="I343"/>
      <c r="K343"/>
      <c r="M343"/>
      <c r="O343"/>
      <c r="Q343"/>
      <c r="S343"/>
    </row>
    <row r="344" spans="1:19" x14ac:dyDescent="0.3">
      <c r="A344" s="70"/>
      <c r="C344"/>
      <c r="E344"/>
      <c r="G344"/>
      <c r="I344"/>
      <c r="K344"/>
      <c r="M344"/>
      <c r="O344"/>
      <c r="Q344"/>
      <c r="S344"/>
    </row>
    <row r="345" spans="1:19" x14ac:dyDescent="0.3">
      <c r="A345" s="70"/>
      <c r="C345"/>
      <c r="E345"/>
      <c r="G345"/>
      <c r="I345"/>
      <c r="K345"/>
      <c r="M345"/>
      <c r="O345"/>
      <c r="Q345"/>
      <c r="S345"/>
    </row>
    <row r="346" spans="1:19" x14ac:dyDescent="0.3">
      <c r="A346" s="70"/>
      <c r="C346"/>
      <c r="E346"/>
      <c r="G346"/>
      <c r="I346"/>
      <c r="K346"/>
      <c r="M346"/>
      <c r="O346"/>
      <c r="Q346"/>
      <c r="S346"/>
    </row>
    <row r="347" spans="1:19" x14ac:dyDescent="0.3">
      <c r="A347" s="70"/>
      <c r="C347"/>
      <c r="E347"/>
      <c r="G347"/>
      <c r="I347"/>
      <c r="K347"/>
      <c r="M347"/>
      <c r="O347"/>
      <c r="Q347"/>
      <c r="S347"/>
    </row>
    <row r="348" spans="1:19" x14ac:dyDescent="0.3">
      <c r="A348" s="70"/>
      <c r="C348"/>
      <c r="E348"/>
      <c r="G348"/>
      <c r="I348"/>
      <c r="K348"/>
      <c r="M348"/>
      <c r="O348"/>
      <c r="Q348"/>
      <c r="S348"/>
    </row>
    <row r="349" spans="1:19" x14ac:dyDescent="0.3">
      <c r="A349" s="70"/>
      <c r="C349"/>
      <c r="E349"/>
      <c r="G349"/>
      <c r="I349"/>
      <c r="K349"/>
      <c r="M349"/>
      <c r="O349"/>
      <c r="Q349"/>
      <c r="S349"/>
    </row>
    <row r="350" spans="1:19" x14ac:dyDescent="0.3">
      <c r="A350" s="70"/>
      <c r="C350"/>
      <c r="E350"/>
      <c r="G350"/>
      <c r="I350"/>
      <c r="K350"/>
      <c r="M350"/>
      <c r="O350"/>
      <c r="Q350"/>
      <c r="S350"/>
    </row>
    <row r="351" spans="1:19" x14ac:dyDescent="0.3">
      <c r="A351" s="70"/>
      <c r="C351"/>
      <c r="E351"/>
      <c r="G351"/>
      <c r="I351"/>
      <c r="K351"/>
      <c r="M351"/>
      <c r="O351"/>
      <c r="Q351"/>
      <c r="S351"/>
    </row>
    <row r="352" spans="1:19" x14ac:dyDescent="0.3">
      <c r="A352" s="70"/>
      <c r="C352"/>
      <c r="E352"/>
      <c r="G352"/>
      <c r="I352"/>
      <c r="K352"/>
      <c r="M352"/>
      <c r="O352"/>
      <c r="Q352"/>
      <c r="S352"/>
    </row>
    <row r="353" spans="1:19" x14ac:dyDescent="0.3">
      <c r="A353" s="70"/>
      <c r="C353"/>
      <c r="E353"/>
      <c r="G353"/>
      <c r="I353"/>
      <c r="K353"/>
      <c r="M353"/>
      <c r="O353"/>
      <c r="Q353"/>
      <c r="S353"/>
    </row>
    <row r="354" spans="1:19" x14ac:dyDescent="0.3">
      <c r="A354" s="70"/>
      <c r="C354"/>
      <c r="E354"/>
      <c r="G354"/>
      <c r="I354"/>
      <c r="K354"/>
      <c r="M354"/>
      <c r="O354"/>
      <c r="Q354"/>
      <c r="S354"/>
    </row>
    <row r="355" spans="1:19" x14ac:dyDescent="0.3">
      <c r="A355" s="70"/>
      <c r="C355"/>
      <c r="E355"/>
      <c r="G355"/>
      <c r="I355"/>
      <c r="K355"/>
      <c r="M355"/>
      <c r="O355"/>
      <c r="Q355"/>
      <c r="S355"/>
    </row>
    <row r="356" spans="1:19" x14ac:dyDescent="0.3">
      <c r="A356" s="70"/>
      <c r="C356"/>
      <c r="E356"/>
      <c r="G356"/>
      <c r="I356"/>
      <c r="K356"/>
      <c r="M356"/>
      <c r="O356"/>
      <c r="Q356"/>
      <c r="S356"/>
    </row>
    <row r="357" spans="1:19" x14ac:dyDescent="0.3">
      <c r="A357" s="70"/>
      <c r="C357"/>
      <c r="E357"/>
      <c r="G357"/>
      <c r="I357"/>
      <c r="K357"/>
      <c r="M357"/>
      <c r="O357"/>
      <c r="Q357"/>
      <c r="S357"/>
    </row>
    <row r="358" spans="1:19" x14ac:dyDescent="0.3">
      <c r="A358" s="70"/>
      <c r="C358"/>
      <c r="E358"/>
      <c r="G358"/>
      <c r="I358"/>
      <c r="K358"/>
      <c r="M358"/>
      <c r="O358"/>
      <c r="Q358"/>
      <c r="S358"/>
    </row>
    <row r="359" spans="1:19" x14ac:dyDescent="0.3">
      <c r="A359" s="70"/>
      <c r="C359"/>
      <c r="E359"/>
      <c r="G359"/>
      <c r="I359"/>
      <c r="K359"/>
      <c r="M359"/>
      <c r="O359"/>
      <c r="Q359"/>
      <c r="S359"/>
    </row>
    <row r="360" spans="1:19" x14ac:dyDescent="0.3">
      <c r="A360" s="70"/>
      <c r="C360"/>
      <c r="E360"/>
      <c r="G360"/>
      <c r="I360"/>
      <c r="K360"/>
      <c r="M360"/>
      <c r="O360"/>
      <c r="Q360"/>
      <c r="S360"/>
    </row>
    <row r="361" spans="1:19" x14ac:dyDescent="0.3">
      <c r="A361" s="70"/>
      <c r="C361"/>
      <c r="E361"/>
      <c r="G361"/>
      <c r="I361"/>
      <c r="K361"/>
      <c r="M361"/>
      <c r="O361"/>
      <c r="Q361"/>
      <c r="S361"/>
    </row>
    <row r="362" spans="1:19" x14ac:dyDescent="0.3">
      <c r="A362" s="70"/>
      <c r="C362"/>
      <c r="E362"/>
      <c r="G362"/>
      <c r="I362"/>
      <c r="K362"/>
      <c r="M362"/>
      <c r="O362"/>
      <c r="Q362"/>
      <c r="S362"/>
    </row>
    <row r="363" spans="1:19" x14ac:dyDescent="0.3">
      <c r="A363" s="70"/>
      <c r="C363"/>
      <c r="E363"/>
      <c r="G363"/>
      <c r="I363"/>
      <c r="K363"/>
      <c r="M363"/>
      <c r="O363"/>
      <c r="Q363"/>
      <c r="S363"/>
    </row>
    <row r="364" spans="1:19" x14ac:dyDescent="0.3">
      <c r="A364" s="70"/>
      <c r="C364"/>
      <c r="E364"/>
      <c r="G364"/>
      <c r="I364"/>
      <c r="K364"/>
      <c r="M364"/>
      <c r="O364"/>
      <c r="Q364"/>
      <c r="S364"/>
    </row>
    <row r="365" spans="1:19" x14ac:dyDescent="0.3">
      <c r="A365" s="70"/>
      <c r="C365"/>
      <c r="E365"/>
      <c r="G365"/>
      <c r="I365"/>
      <c r="K365"/>
      <c r="M365"/>
      <c r="O365"/>
      <c r="Q365"/>
      <c r="S365"/>
    </row>
    <row r="366" spans="1:19" x14ac:dyDescent="0.3">
      <c r="A366" s="70"/>
      <c r="C366"/>
      <c r="E366"/>
      <c r="G366"/>
      <c r="I366"/>
      <c r="K366"/>
      <c r="M366"/>
      <c r="O366"/>
      <c r="Q366"/>
      <c r="S366"/>
    </row>
    <row r="367" spans="1:19" x14ac:dyDescent="0.3">
      <c r="A367" s="70"/>
      <c r="C367"/>
      <c r="E367"/>
      <c r="G367"/>
      <c r="I367"/>
      <c r="K367"/>
      <c r="M367"/>
      <c r="O367"/>
      <c r="Q367"/>
      <c r="S367"/>
    </row>
    <row r="368" spans="1:19" x14ac:dyDescent="0.3">
      <c r="A368" s="70"/>
      <c r="C368"/>
      <c r="E368"/>
      <c r="G368"/>
      <c r="I368"/>
      <c r="K368"/>
      <c r="M368"/>
      <c r="O368"/>
      <c r="Q368"/>
      <c r="S368"/>
    </row>
    <row r="369" spans="1:19" x14ac:dyDescent="0.3">
      <c r="A369" s="70"/>
      <c r="C369"/>
      <c r="E369"/>
      <c r="G369"/>
      <c r="I369"/>
      <c r="K369"/>
      <c r="M369"/>
      <c r="O369"/>
      <c r="Q369"/>
      <c r="S369"/>
    </row>
    <row r="370" spans="1:19" x14ac:dyDescent="0.3">
      <c r="A370" s="70"/>
      <c r="C370"/>
      <c r="E370"/>
      <c r="G370"/>
      <c r="I370"/>
      <c r="K370"/>
      <c r="M370"/>
      <c r="O370"/>
      <c r="Q370"/>
      <c r="S370"/>
    </row>
    <row r="371" spans="1:19" x14ac:dyDescent="0.3">
      <c r="A371" s="70"/>
      <c r="C371"/>
      <c r="E371"/>
      <c r="G371"/>
      <c r="I371"/>
      <c r="K371"/>
      <c r="M371"/>
      <c r="O371"/>
      <c r="Q371"/>
      <c r="S371"/>
    </row>
    <row r="372" spans="1:19" x14ac:dyDescent="0.3">
      <c r="A372" s="70"/>
      <c r="C372"/>
      <c r="E372"/>
      <c r="G372"/>
      <c r="I372"/>
      <c r="K372"/>
      <c r="M372"/>
      <c r="O372"/>
      <c r="Q372"/>
      <c r="S372"/>
    </row>
    <row r="373" spans="1:19" x14ac:dyDescent="0.3">
      <c r="A373" s="70"/>
      <c r="C373"/>
      <c r="E373"/>
      <c r="G373"/>
      <c r="I373"/>
      <c r="K373"/>
      <c r="M373"/>
      <c r="O373"/>
      <c r="Q373"/>
      <c r="S373"/>
    </row>
    <row r="374" spans="1:19" x14ac:dyDescent="0.3">
      <c r="A374" s="70"/>
      <c r="C374"/>
      <c r="E374"/>
      <c r="G374"/>
      <c r="I374"/>
      <c r="K374"/>
      <c r="M374"/>
      <c r="O374"/>
      <c r="Q374"/>
      <c r="S374"/>
    </row>
    <row r="375" spans="1:19" x14ac:dyDescent="0.3">
      <c r="A375" s="70"/>
      <c r="C375"/>
      <c r="E375"/>
      <c r="G375"/>
      <c r="I375"/>
      <c r="K375"/>
      <c r="M375"/>
      <c r="O375"/>
      <c r="Q375"/>
      <c r="S375"/>
    </row>
    <row r="376" spans="1:19" x14ac:dyDescent="0.3">
      <c r="A376" s="70"/>
      <c r="C376"/>
      <c r="E376"/>
      <c r="G376"/>
      <c r="I376"/>
      <c r="K376"/>
      <c r="M376"/>
      <c r="O376"/>
      <c r="Q376"/>
      <c r="S376"/>
    </row>
    <row r="377" spans="1:19" x14ac:dyDescent="0.3">
      <c r="A377" s="70"/>
      <c r="C377"/>
      <c r="E377"/>
      <c r="G377"/>
      <c r="I377"/>
      <c r="K377"/>
      <c r="M377"/>
      <c r="O377"/>
      <c r="Q377"/>
      <c r="S377"/>
    </row>
    <row r="378" spans="1:19" x14ac:dyDescent="0.3">
      <c r="A378" s="70"/>
      <c r="C378"/>
      <c r="E378"/>
      <c r="G378"/>
      <c r="I378"/>
      <c r="K378"/>
      <c r="M378"/>
      <c r="O378"/>
      <c r="Q378"/>
      <c r="S378"/>
    </row>
    <row r="379" spans="1:19" x14ac:dyDescent="0.3">
      <c r="A379" s="70"/>
      <c r="C379"/>
      <c r="E379"/>
      <c r="G379"/>
      <c r="I379"/>
      <c r="K379"/>
      <c r="M379"/>
      <c r="O379"/>
      <c r="Q379"/>
      <c r="S379"/>
    </row>
    <row r="380" spans="1:19" x14ac:dyDescent="0.3">
      <c r="A380" s="70"/>
      <c r="C380"/>
      <c r="E380"/>
      <c r="G380"/>
      <c r="I380"/>
      <c r="K380"/>
      <c r="M380"/>
      <c r="O380"/>
      <c r="Q380"/>
      <c r="S380"/>
    </row>
    <row r="381" spans="1:19" x14ac:dyDescent="0.3">
      <c r="A381" s="70"/>
      <c r="C381"/>
      <c r="E381"/>
      <c r="G381"/>
      <c r="I381"/>
      <c r="K381"/>
      <c r="M381"/>
      <c r="O381"/>
      <c r="Q381"/>
      <c r="S381"/>
    </row>
    <row r="382" spans="1:19" x14ac:dyDescent="0.3">
      <c r="A382" s="70"/>
      <c r="C382"/>
      <c r="E382"/>
      <c r="G382"/>
      <c r="I382"/>
      <c r="K382"/>
      <c r="M382"/>
      <c r="O382"/>
      <c r="Q382"/>
      <c r="S382"/>
    </row>
    <row r="383" spans="1:19" x14ac:dyDescent="0.3">
      <c r="A383" s="70"/>
      <c r="C383"/>
      <c r="E383"/>
      <c r="G383"/>
      <c r="I383"/>
      <c r="K383"/>
      <c r="M383"/>
      <c r="O383"/>
      <c r="Q383"/>
      <c r="S383"/>
    </row>
    <row r="384" spans="1:19" x14ac:dyDescent="0.3">
      <c r="A384" s="70"/>
      <c r="C384"/>
      <c r="E384"/>
      <c r="G384"/>
      <c r="I384"/>
      <c r="K384"/>
      <c r="M384"/>
      <c r="O384"/>
      <c r="Q384"/>
      <c r="S384"/>
    </row>
    <row r="385" spans="1:19" x14ac:dyDescent="0.3">
      <c r="A385" s="70"/>
      <c r="C385"/>
      <c r="E385"/>
      <c r="G385"/>
      <c r="I385"/>
      <c r="K385"/>
      <c r="M385"/>
      <c r="O385"/>
      <c r="Q385"/>
      <c r="S385"/>
    </row>
    <row r="386" spans="1:19" x14ac:dyDescent="0.3">
      <c r="A386" s="70"/>
      <c r="C386"/>
      <c r="E386"/>
      <c r="G386"/>
      <c r="I386"/>
      <c r="K386"/>
      <c r="M386"/>
      <c r="O386"/>
      <c r="Q386"/>
      <c r="S386"/>
    </row>
    <row r="387" spans="1:19" x14ac:dyDescent="0.3">
      <c r="A387" s="70"/>
      <c r="C387"/>
      <c r="E387"/>
      <c r="G387"/>
      <c r="I387"/>
      <c r="K387"/>
      <c r="M387"/>
      <c r="O387"/>
      <c r="Q387"/>
      <c r="S387"/>
    </row>
    <row r="388" spans="1:19" x14ac:dyDescent="0.3">
      <c r="A388" s="70"/>
      <c r="C388"/>
      <c r="E388"/>
      <c r="G388"/>
      <c r="I388"/>
      <c r="K388"/>
      <c r="M388"/>
      <c r="O388"/>
      <c r="Q388"/>
      <c r="S388"/>
    </row>
    <row r="389" spans="1:19" x14ac:dyDescent="0.3">
      <c r="A389" s="70"/>
      <c r="C389"/>
      <c r="E389"/>
      <c r="G389"/>
      <c r="I389"/>
      <c r="K389"/>
      <c r="M389"/>
      <c r="O389"/>
      <c r="Q389"/>
      <c r="S389"/>
    </row>
    <row r="390" spans="1:19" x14ac:dyDescent="0.3">
      <c r="A390" s="70"/>
      <c r="C390"/>
      <c r="E390"/>
      <c r="G390"/>
      <c r="I390"/>
      <c r="K390"/>
      <c r="M390"/>
      <c r="O390"/>
      <c r="Q390"/>
      <c r="S390"/>
    </row>
    <row r="391" spans="1:19" x14ac:dyDescent="0.3">
      <c r="A391" s="70"/>
      <c r="C391"/>
      <c r="E391"/>
      <c r="G391"/>
      <c r="I391"/>
      <c r="K391"/>
      <c r="M391"/>
      <c r="O391"/>
      <c r="Q391"/>
      <c r="S391"/>
    </row>
    <row r="392" spans="1:19" x14ac:dyDescent="0.3">
      <c r="A392" s="70"/>
      <c r="C392"/>
      <c r="E392"/>
      <c r="G392"/>
      <c r="I392"/>
      <c r="K392"/>
      <c r="M392"/>
      <c r="O392"/>
      <c r="Q392"/>
      <c r="S392"/>
    </row>
    <row r="393" spans="1:19" x14ac:dyDescent="0.3">
      <c r="A393" s="70"/>
      <c r="C393"/>
      <c r="E393"/>
      <c r="G393"/>
      <c r="I393"/>
      <c r="K393"/>
      <c r="M393"/>
      <c r="O393"/>
      <c r="Q393"/>
      <c r="S393"/>
    </row>
    <row r="394" spans="1:19" x14ac:dyDescent="0.3">
      <c r="A394" s="70"/>
      <c r="C394"/>
      <c r="E394"/>
      <c r="G394"/>
      <c r="I394"/>
      <c r="K394"/>
      <c r="M394"/>
      <c r="O394"/>
      <c r="Q394"/>
      <c r="S394"/>
    </row>
    <row r="395" spans="1:19" x14ac:dyDescent="0.3">
      <c r="A395" s="70"/>
      <c r="C395"/>
      <c r="E395"/>
      <c r="G395"/>
      <c r="I395"/>
      <c r="K395"/>
      <c r="M395"/>
      <c r="O395"/>
      <c r="Q395"/>
      <c r="S395"/>
    </row>
    <row r="396" spans="1:19" x14ac:dyDescent="0.3">
      <c r="A396" s="70"/>
      <c r="C396"/>
      <c r="E396"/>
      <c r="G396"/>
      <c r="I396"/>
      <c r="K396"/>
      <c r="M396"/>
      <c r="O396"/>
      <c r="Q396"/>
      <c r="S396"/>
    </row>
    <row r="397" spans="1:19" x14ac:dyDescent="0.3">
      <c r="A397" s="70"/>
      <c r="C397"/>
      <c r="E397"/>
      <c r="G397"/>
      <c r="I397"/>
      <c r="K397"/>
      <c r="M397"/>
      <c r="O397"/>
      <c r="Q397"/>
      <c r="S397"/>
    </row>
    <row r="398" spans="1:19" x14ac:dyDescent="0.3">
      <c r="A398" s="70"/>
      <c r="C398"/>
      <c r="E398"/>
      <c r="G398"/>
      <c r="I398"/>
      <c r="K398"/>
      <c r="M398"/>
      <c r="O398"/>
      <c r="Q398"/>
      <c r="S398"/>
    </row>
    <row r="399" spans="1:19" x14ac:dyDescent="0.3">
      <c r="A399" s="70"/>
      <c r="C399"/>
      <c r="E399"/>
      <c r="G399"/>
      <c r="I399"/>
      <c r="K399"/>
      <c r="M399"/>
      <c r="O399"/>
      <c r="Q399"/>
      <c r="S399"/>
    </row>
    <row r="400" spans="1:19" x14ac:dyDescent="0.3">
      <c r="A400" s="70"/>
      <c r="C400"/>
      <c r="E400"/>
      <c r="G400"/>
      <c r="I400"/>
      <c r="K400"/>
      <c r="M400"/>
      <c r="O400"/>
      <c r="Q400"/>
      <c r="S400"/>
    </row>
    <row r="401" spans="1:19" x14ac:dyDescent="0.3">
      <c r="A401" s="70"/>
      <c r="C401"/>
      <c r="E401"/>
      <c r="G401"/>
      <c r="I401"/>
      <c r="K401"/>
      <c r="M401"/>
      <c r="O401"/>
      <c r="Q401"/>
      <c r="S401"/>
    </row>
    <row r="402" spans="1:19" x14ac:dyDescent="0.3">
      <c r="A402" s="70"/>
      <c r="C402"/>
      <c r="E402"/>
      <c r="G402"/>
      <c r="I402"/>
      <c r="K402"/>
      <c r="M402"/>
      <c r="O402"/>
      <c r="Q402"/>
      <c r="S402"/>
    </row>
    <row r="403" spans="1:19" x14ac:dyDescent="0.3">
      <c r="A403" s="70"/>
      <c r="C403"/>
      <c r="E403"/>
      <c r="G403"/>
      <c r="I403"/>
      <c r="K403"/>
      <c r="M403"/>
      <c r="O403"/>
      <c r="Q403"/>
      <c r="S403"/>
    </row>
    <row r="404" spans="1:19" x14ac:dyDescent="0.3">
      <c r="A404" s="70"/>
      <c r="C404"/>
      <c r="E404"/>
      <c r="G404"/>
      <c r="I404"/>
      <c r="K404"/>
      <c r="M404"/>
      <c r="O404"/>
      <c r="Q404"/>
      <c r="S404"/>
    </row>
    <row r="405" spans="1:19" x14ac:dyDescent="0.3">
      <c r="A405" s="70"/>
      <c r="C405"/>
      <c r="E405"/>
      <c r="G405"/>
      <c r="I405"/>
      <c r="K405"/>
      <c r="M405"/>
      <c r="O405"/>
      <c r="Q405"/>
      <c r="S405"/>
    </row>
    <row r="406" spans="1:19" x14ac:dyDescent="0.3">
      <c r="A406" s="70"/>
      <c r="C406"/>
      <c r="E406"/>
      <c r="G406"/>
      <c r="I406"/>
      <c r="K406"/>
      <c r="M406"/>
      <c r="O406"/>
      <c r="Q406"/>
      <c r="S406"/>
    </row>
    <row r="407" spans="1:19" x14ac:dyDescent="0.3">
      <c r="A407" s="70"/>
      <c r="C407"/>
      <c r="E407"/>
      <c r="G407"/>
      <c r="I407"/>
      <c r="K407"/>
      <c r="M407"/>
      <c r="O407"/>
      <c r="Q407"/>
      <c r="S407"/>
    </row>
    <row r="408" spans="1:19" x14ac:dyDescent="0.3">
      <c r="A408" s="70"/>
      <c r="C408"/>
      <c r="E408"/>
      <c r="G408"/>
      <c r="I408"/>
      <c r="K408"/>
      <c r="M408"/>
      <c r="O408"/>
      <c r="Q408"/>
      <c r="S408"/>
    </row>
    <row r="409" spans="1:19" x14ac:dyDescent="0.3">
      <c r="A409" s="70"/>
      <c r="C409"/>
      <c r="E409"/>
      <c r="G409"/>
      <c r="I409"/>
      <c r="K409"/>
      <c r="M409"/>
      <c r="O409"/>
      <c r="Q409"/>
      <c r="S409"/>
    </row>
    <row r="410" spans="1:19" x14ac:dyDescent="0.3">
      <c r="A410" s="70"/>
      <c r="C410"/>
      <c r="E410"/>
      <c r="G410"/>
      <c r="I410"/>
      <c r="K410"/>
      <c r="M410"/>
      <c r="O410"/>
      <c r="Q410"/>
      <c r="S410"/>
    </row>
    <row r="411" spans="1:19" x14ac:dyDescent="0.3">
      <c r="A411" s="70"/>
      <c r="C411"/>
      <c r="E411"/>
      <c r="G411"/>
      <c r="I411"/>
      <c r="K411"/>
      <c r="M411"/>
      <c r="O411"/>
      <c r="Q411"/>
      <c r="S411"/>
    </row>
    <row r="412" spans="1:19" x14ac:dyDescent="0.3">
      <c r="A412" s="70"/>
      <c r="C412"/>
      <c r="E412"/>
      <c r="G412"/>
      <c r="I412"/>
      <c r="K412"/>
      <c r="M412"/>
      <c r="O412"/>
      <c r="Q412"/>
      <c r="S412"/>
    </row>
    <row r="413" spans="1:19" x14ac:dyDescent="0.3">
      <c r="A413" s="70"/>
      <c r="C413"/>
      <c r="E413"/>
      <c r="G413"/>
      <c r="I413"/>
      <c r="K413"/>
      <c r="M413"/>
      <c r="O413"/>
      <c r="Q413"/>
      <c r="S413"/>
    </row>
    <row r="414" spans="1:19" x14ac:dyDescent="0.3">
      <c r="A414" s="70"/>
      <c r="C414"/>
      <c r="E414"/>
      <c r="G414"/>
      <c r="I414"/>
      <c r="K414"/>
      <c r="M414"/>
      <c r="O414"/>
      <c r="Q414"/>
      <c r="S414"/>
    </row>
    <row r="415" spans="1:19" x14ac:dyDescent="0.3">
      <c r="A415" s="70"/>
      <c r="C415"/>
      <c r="E415"/>
      <c r="G415"/>
      <c r="I415"/>
      <c r="K415"/>
      <c r="M415"/>
      <c r="O415"/>
      <c r="Q415"/>
      <c r="S415"/>
    </row>
    <row r="416" spans="1:19" x14ac:dyDescent="0.3">
      <c r="A416" s="70"/>
      <c r="C416"/>
      <c r="E416"/>
      <c r="G416"/>
      <c r="I416"/>
      <c r="K416"/>
      <c r="M416"/>
      <c r="O416"/>
      <c r="Q416"/>
      <c r="S416"/>
    </row>
    <row r="417" spans="1:19" x14ac:dyDescent="0.3">
      <c r="A417" s="70"/>
      <c r="C417"/>
      <c r="E417"/>
      <c r="G417"/>
      <c r="I417"/>
      <c r="K417"/>
      <c r="M417"/>
      <c r="O417"/>
      <c r="Q417"/>
      <c r="S417"/>
    </row>
    <row r="418" spans="1:19" x14ac:dyDescent="0.3">
      <c r="A418" s="70"/>
      <c r="C418"/>
      <c r="E418"/>
      <c r="G418"/>
      <c r="I418"/>
      <c r="K418"/>
      <c r="M418"/>
      <c r="O418"/>
      <c r="Q418"/>
      <c r="S418"/>
    </row>
    <row r="419" spans="1:19" x14ac:dyDescent="0.3">
      <c r="A419" s="70"/>
      <c r="C419"/>
      <c r="E419"/>
      <c r="G419"/>
      <c r="I419"/>
      <c r="K419"/>
      <c r="M419"/>
      <c r="O419"/>
      <c r="Q419"/>
      <c r="S419"/>
    </row>
    <row r="420" spans="1:19" x14ac:dyDescent="0.3">
      <c r="A420" s="70"/>
      <c r="C420"/>
      <c r="E420"/>
      <c r="G420"/>
      <c r="I420"/>
      <c r="K420"/>
      <c r="M420"/>
      <c r="O420"/>
      <c r="Q420"/>
      <c r="S420"/>
    </row>
    <row r="421" spans="1:19" x14ac:dyDescent="0.3">
      <c r="A421" s="70"/>
      <c r="C421"/>
      <c r="E421"/>
      <c r="G421"/>
      <c r="I421"/>
      <c r="K421"/>
      <c r="M421"/>
      <c r="O421"/>
      <c r="Q421"/>
      <c r="S421"/>
    </row>
    <row r="422" spans="1:19" x14ac:dyDescent="0.3">
      <c r="A422" s="70"/>
      <c r="C422"/>
      <c r="E422"/>
      <c r="G422"/>
      <c r="I422"/>
      <c r="K422"/>
      <c r="M422"/>
      <c r="O422"/>
      <c r="Q422"/>
      <c r="S422"/>
    </row>
    <row r="423" spans="1:19" x14ac:dyDescent="0.3">
      <c r="A423" s="70"/>
      <c r="C423"/>
      <c r="E423"/>
      <c r="G423"/>
      <c r="I423"/>
      <c r="K423"/>
      <c r="M423"/>
      <c r="O423"/>
      <c r="Q423"/>
      <c r="S423"/>
    </row>
    <row r="424" spans="1:19" x14ac:dyDescent="0.3">
      <c r="A424" s="70"/>
      <c r="C424"/>
      <c r="E424"/>
      <c r="G424"/>
      <c r="I424"/>
      <c r="K424"/>
      <c r="M424"/>
      <c r="O424"/>
      <c r="Q424"/>
      <c r="S424"/>
    </row>
    <row r="425" spans="1:19" x14ac:dyDescent="0.3">
      <c r="A425" s="70"/>
      <c r="C425"/>
      <c r="E425"/>
      <c r="G425"/>
      <c r="I425"/>
      <c r="K425"/>
      <c r="M425"/>
      <c r="O425"/>
      <c r="Q425"/>
      <c r="S425"/>
    </row>
    <row r="426" spans="1:19" x14ac:dyDescent="0.3">
      <c r="A426" s="70"/>
      <c r="C426"/>
      <c r="E426"/>
      <c r="G426"/>
      <c r="I426"/>
      <c r="K426"/>
      <c r="M426"/>
      <c r="O426"/>
      <c r="Q426"/>
      <c r="S426"/>
    </row>
    <row r="427" spans="1:19" x14ac:dyDescent="0.3">
      <c r="A427" s="70"/>
      <c r="C427"/>
      <c r="E427"/>
      <c r="G427"/>
      <c r="I427"/>
      <c r="K427"/>
      <c r="M427"/>
      <c r="O427"/>
      <c r="Q427"/>
      <c r="S427"/>
    </row>
    <row r="428" spans="1:19" x14ac:dyDescent="0.3">
      <c r="A428" s="70"/>
      <c r="C428"/>
      <c r="E428"/>
      <c r="G428"/>
      <c r="I428"/>
      <c r="K428"/>
      <c r="M428"/>
      <c r="O428"/>
      <c r="Q428"/>
      <c r="S428"/>
    </row>
    <row r="429" spans="1:19" x14ac:dyDescent="0.3">
      <c r="A429" s="70"/>
      <c r="C429"/>
      <c r="E429"/>
      <c r="G429"/>
      <c r="I429"/>
      <c r="K429"/>
      <c r="M429"/>
      <c r="O429"/>
      <c r="Q429"/>
      <c r="S429"/>
    </row>
    <row r="430" spans="1:19" x14ac:dyDescent="0.3">
      <c r="A430" s="70"/>
      <c r="C430"/>
      <c r="E430"/>
      <c r="G430"/>
      <c r="I430"/>
      <c r="K430"/>
      <c r="M430"/>
      <c r="O430"/>
      <c r="Q430"/>
      <c r="S430"/>
    </row>
    <row r="431" spans="1:19" x14ac:dyDescent="0.3">
      <c r="A431" s="70"/>
      <c r="C431"/>
      <c r="E431"/>
      <c r="G431"/>
      <c r="I431"/>
      <c r="K431"/>
      <c r="M431"/>
      <c r="O431"/>
      <c r="Q431"/>
      <c r="S431"/>
    </row>
    <row r="432" spans="1:19" x14ac:dyDescent="0.3">
      <c r="A432" s="70"/>
      <c r="C432"/>
      <c r="E432"/>
      <c r="G432"/>
      <c r="I432"/>
      <c r="K432"/>
      <c r="M432"/>
      <c r="O432"/>
      <c r="Q432"/>
      <c r="S432"/>
    </row>
    <row r="433" spans="1:19" x14ac:dyDescent="0.3">
      <c r="A433" s="70"/>
      <c r="C433"/>
      <c r="E433"/>
      <c r="G433"/>
      <c r="I433"/>
      <c r="K433"/>
      <c r="M433"/>
      <c r="O433"/>
      <c r="Q433"/>
      <c r="S433"/>
    </row>
    <row r="434" spans="1:19" x14ac:dyDescent="0.3">
      <c r="A434" s="70"/>
      <c r="C434"/>
      <c r="E434"/>
      <c r="G434"/>
      <c r="I434"/>
      <c r="K434"/>
      <c r="M434"/>
      <c r="O434"/>
      <c r="Q434"/>
      <c r="S434"/>
    </row>
    <row r="435" spans="1:19" x14ac:dyDescent="0.3">
      <c r="A435" s="70"/>
      <c r="C435"/>
      <c r="E435"/>
      <c r="G435"/>
      <c r="I435"/>
      <c r="K435"/>
      <c r="M435"/>
      <c r="O435"/>
      <c r="Q435"/>
      <c r="S435"/>
    </row>
    <row r="436" spans="1:19" x14ac:dyDescent="0.3">
      <c r="A436" s="70"/>
      <c r="C436"/>
      <c r="E436"/>
      <c r="G436"/>
      <c r="I436"/>
      <c r="K436"/>
      <c r="M436"/>
      <c r="O436"/>
      <c r="Q436"/>
      <c r="S436"/>
    </row>
    <row r="437" spans="1:19" x14ac:dyDescent="0.3">
      <c r="A437" s="70"/>
      <c r="C437"/>
      <c r="E437"/>
      <c r="G437"/>
      <c r="I437"/>
      <c r="K437"/>
      <c r="M437"/>
      <c r="O437"/>
      <c r="Q437"/>
      <c r="S437"/>
    </row>
    <row r="438" spans="1:19" x14ac:dyDescent="0.3">
      <c r="A438" s="70"/>
      <c r="C438"/>
      <c r="E438"/>
      <c r="G438"/>
      <c r="I438"/>
      <c r="K438"/>
      <c r="M438"/>
      <c r="O438"/>
      <c r="Q438"/>
      <c r="S438"/>
    </row>
    <row r="439" spans="1:19" x14ac:dyDescent="0.3">
      <c r="A439" s="70"/>
      <c r="C439"/>
      <c r="E439"/>
      <c r="G439"/>
      <c r="I439"/>
      <c r="K439"/>
      <c r="M439"/>
      <c r="O439"/>
      <c r="Q439"/>
      <c r="S439"/>
    </row>
    <row r="440" spans="1:19" x14ac:dyDescent="0.3">
      <c r="A440" s="70"/>
      <c r="C440"/>
      <c r="E440"/>
      <c r="G440"/>
      <c r="I440"/>
      <c r="K440"/>
      <c r="M440"/>
      <c r="O440"/>
      <c r="Q440"/>
      <c r="S440"/>
    </row>
    <row r="441" spans="1:19" x14ac:dyDescent="0.3">
      <c r="A441" s="70"/>
      <c r="C441"/>
      <c r="E441"/>
      <c r="G441"/>
      <c r="I441"/>
      <c r="K441"/>
      <c r="M441"/>
      <c r="O441"/>
      <c r="Q441"/>
      <c r="S441"/>
    </row>
    <row r="442" spans="1:19" x14ac:dyDescent="0.3">
      <c r="A442" s="70"/>
      <c r="C442"/>
      <c r="E442"/>
      <c r="G442"/>
      <c r="I442"/>
      <c r="K442"/>
      <c r="M442"/>
      <c r="O442"/>
      <c r="Q442"/>
      <c r="S442"/>
    </row>
    <row r="443" spans="1:19" x14ac:dyDescent="0.3">
      <c r="A443" s="70"/>
      <c r="C443"/>
      <c r="E443"/>
      <c r="G443"/>
      <c r="I443"/>
      <c r="K443"/>
      <c r="M443"/>
      <c r="O443"/>
      <c r="Q443"/>
      <c r="S443"/>
    </row>
    <row r="444" spans="1:19" x14ac:dyDescent="0.3">
      <c r="A444" s="70"/>
      <c r="C444"/>
      <c r="E444"/>
      <c r="G444"/>
      <c r="I444"/>
      <c r="K444"/>
      <c r="M444"/>
      <c r="O444"/>
      <c r="Q444"/>
      <c r="S444"/>
    </row>
    <row r="445" spans="1:19" x14ac:dyDescent="0.3">
      <c r="A445" s="70"/>
      <c r="C445"/>
      <c r="E445"/>
      <c r="G445"/>
      <c r="I445"/>
      <c r="K445"/>
      <c r="M445"/>
      <c r="O445"/>
      <c r="Q445"/>
      <c r="S445"/>
    </row>
    <row r="446" spans="1:19" x14ac:dyDescent="0.3">
      <c r="A446" s="70"/>
      <c r="C446"/>
      <c r="E446"/>
      <c r="G446"/>
      <c r="I446"/>
      <c r="K446"/>
      <c r="M446"/>
      <c r="O446"/>
      <c r="Q446"/>
      <c r="S446"/>
    </row>
    <row r="447" spans="1:19" x14ac:dyDescent="0.3">
      <c r="A447" s="70"/>
      <c r="C447"/>
      <c r="E447"/>
      <c r="G447"/>
      <c r="I447"/>
      <c r="K447"/>
      <c r="M447"/>
      <c r="O447"/>
      <c r="Q447"/>
      <c r="S447"/>
    </row>
    <row r="448" spans="1:19" x14ac:dyDescent="0.3">
      <c r="A448" s="70"/>
      <c r="C448"/>
      <c r="E448"/>
      <c r="G448"/>
      <c r="I448"/>
      <c r="K448"/>
      <c r="M448"/>
      <c r="O448"/>
      <c r="Q448"/>
      <c r="S448"/>
    </row>
    <row r="449" spans="1:19" x14ac:dyDescent="0.3">
      <c r="A449" s="70"/>
      <c r="C449"/>
      <c r="E449"/>
      <c r="G449"/>
      <c r="I449"/>
      <c r="K449"/>
      <c r="M449"/>
      <c r="O449"/>
      <c r="Q449"/>
      <c r="S449"/>
    </row>
    <row r="450" spans="1:19" x14ac:dyDescent="0.3">
      <c r="A450" s="70"/>
      <c r="C450"/>
      <c r="E450"/>
      <c r="G450"/>
      <c r="I450"/>
      <c r="K450"/>
      <c r="M450"/>
      <c r="O450"/>
      <c r="Q450"/>
      <c r="S450"/>
    </row>
    <row r="451" spans="1:19" x14ac:dyDescent="0.3">
      <c r="A451" s="70"/>
      <c r="C451"/>
      <c r="E451"/>
      <c r="G451"/>
      <c r="I451"/>
      <c r="K451"/>
      <c r="M451"/>
      <c r="O451"/>
      <c r="Q451"/>
      <c r="S451"/>
    </row>
    <row r="452" spans="1:19" x14ac:dyDescent="0.3">
      <c r="A452" s="70"/>
      <c r="C452"/>
      <c r="E452"/>
      <c r="G452"/>
      <c r="I452"/>
      <c r="K452"/>
      <c r="M452"/>
      <c r="O452"/>
      <c r="Q452"/>
      <c r="S452"/>
    </row>
    <row r="453" spans="1:19" x14ac:dyDescent="0.3">
      <c r="A453" s="70"/>
      <c r="C453"/>
      <c r="E453"/>
      <c r="G453"/>
      <c r="I453"/>
      <c r="K453"/>
      <c r="M453"/>
      <c r="O453"/>
      <c r="Q453"/>
      <c r="S453"/>
    </row>
    <row r="454" spans="1:19" x14ac:dyDescent="0.3">
      <c r="A454" s="70"/>
      <c r="C454"/>
      <c r="E454"/>
      <c r="G454"/>
      <c r="I454"/>
      <c r="K454"/>
      <c r="M454"/>
      <c r="O454"/>
      <c r="Q454"/>
      <c r="S454"/>
    </row>
    <row r="455" spans="1:19" x14ac:dyDescent="0.3">
      <c r="A455" s="70"/>
      <c r="C455"/>
      <c r="E455"/>
      <c r="G455"/>
      <c r="I455"/>
      <c r="K455"/>
      <c r="M455"/>
      <c r="O455"/>
      <c r="Q455"/>
      <c r="S455"/>
    </row>
    <row r="456" spans="1:19" x14ac:dyDescent="0.3">
      <c r="A456" s="70"/>
      <c r="C456"/>
      <c r="E456"/>
      <c r="G456"/>
      <c r="I456"/>
      <c r="K456"/>
      <c r="M456"/>
      <c r="O456"/>
      <c r="Q456"/>
      <c r="S456"/>
    </row>
    <row r="457" spans="1:19" x14ac:dyDescent="0.3">
      <c r="A457" s="70"/>
      <c r="C457"/>
      <c r="E457"/>
      <c r="G457"/>
      <c r="I457"/>
      <c r="K457"/>
      <c r="M457"/>
      <c r="O457"/>
      <c r="Q457"/>
      <c r="S457"/>
    </row>
    <row r="458" spans="1:19" x14ac:dyDescent="0.3">
      <c r="A458" s="70"/>
      <c r="C458"/>
      <c r="E458"/>
      <c r="G458"/>
      <c r="I458"/>
      <c r="K458"/>
      <c r="M458"/>
      <c r="O458"/>
      <c r="Q458"/>
      <c r="S458"/>
    </row>
    <row r="459" spans="1:19" x14ac:dyDescent="0.3">
      <c r="A459" s="70"/>
      <c r="C459"/>
      <c r="E459"/>
      <c r="G459"/>
      <c r="I459"/>
      <c r="K459"/>
      <c r="M459"/>
      <c r="O459"/>
      <c r="Q459"/>
      <c r="S459"/>
    </row>
    <row r="460" spans="1:19" x14ac:dyDescent="0.3">
      <c r="A460" s="70"/>
      <c r="C460"/>
      <c r="E460"/>
      <c r="G460"/>
      <c r="I460"/>
      <c r="K460"/>
      <c r="M460"/>
      <c r="O460"/>
      <c r="Q460"/>
      <c r="S460"/>
    </row>
    <row r="461" spans="1:19" x14ac:dyDescent="0.3">
      <c r="A461" s="70"/>
      <c r="C461"/>
      <c r="E461"/>
      <c r="G461"/>
      <c r="I461"/>
      <c r="K461"/>
      <c r="M461"/>
      <c r="O461"/>
      <c r="Q461"/>
      <c r="S461"/>
    </row>
    <row r="462" spans="1:19" x14ac:dyDescent="0.3">
      <c r="A462" s="70"/>
      <c r="C462"/>
      <c r="E462"/>
      <c r="G462"/>
      <c r="I462"/>
      <c r="K462"/>
      <c r="M462"/>
      <c r="O462"/>
      <c r="Q462"/>
      <c r="S462"/>
    </row>
    <row r="463" spans="1:19" x14ac:dyDescent="0.3">
      <c r="A463" s="70"/>
      <c r="C463"/>
      <c r="E463"/>
      <c r="G463"/>
      <c r="I463"/>
      <c r="K463"/>
      <c r="M463"/>
      <c r="O463"/>
      <c r="Q463"/>
      <c r="S463"/>
    </row>
    <row r="464" spans="1:19" x14ac:dyDescent="0.3">
      <c r="A464" s="70"/>
      <c r="C464"/>
      <c r="E464"/>
      <c r="G464"/>
      <c r="I464"/>
      <c r="K464"/>
      <c r="M464"/>
      <c r="O464"/>
      <c r="Q464"/>
      <c r="S464"/>
    </row>
    <row r="465" spans="1:19" x14ac:dyDescent="0.3">
      <c r="A465" s="70"/>
      <c r="C465"/>
      <c r="E465"/>
      <c r="G465"/>
      <c r="I465"/>
      <c r="K465"/>
      <c r="M465"/>
      <c r="O465"/>
      <c r="Q465"/>
      <c r="S465"/>
    </row>
    <row r="466" spans="1:19" x14ac:dyDescent="0.3">
      <c r="A466" s="70"/>
      <c r="C466"/>
      <c r="E466"/>
      <c r="G466"/>
      <c r="I466"/>
      <c r="K466"/>
      <c r="M466"/>
      <c r="O466"/>
      <c r="Q466"/>
      <c r="S466"/>
    </row>
    <row r="467" spans="1:19" x14ac:dyDescent="0.3">
      <c r="A467" s="70"/>
      <c r="C467"/>
      <c r="E467"/>
      <c r="G467"/>
      <c r="I467"/>
      <c r="K467"/>
      <c r="M467"/>
      <c r="O467"/>
      <c r="Q467"/>
      <c r="S467"/>
    </row>
    <row r="468" spans="1:19" x14ac:dyDescent="0.3">
      <c r="A468" s="70"/>
      <c r="C468"/>
      <c r="E468"/>
      <c r="G468"/>
      <c r="I468"/>
      <c r="K468"/>
      <c r="M468"/>
      <c r="O468"/>
      <c r="Q468"/>
      <c r="S468"/>
    </row>
    <row r="469" spans="1:19" x14ac:dyDescent="0.3">
      <c r="A469" s="70"/>
      <c r="C469"/>
      <c r="E469"/>
      <c r="G469"/>
      <c r="I469"/>
      <c r="K469"/>
      <c r="M469"/>
      <c r="O469"/>
      <c r="Q469"/>
      <c r="S469"/>
    </row>
    <row r="470" spans="1:19" x14ac:dyDescent="0.3">
      <c r="A470" s="70"/>
      <c r="C470"/>
      <c r="E470"/>
      <c r="G470"/>
      <c r="I470"/>
      <c r="K470"/>
      <c r="M470"/>
      <c r="O470"/>
      <c r="Q470"/>
      <c r="S470"/>
    </row>
    <row r="471" spans="1:19" x14ac:dyDescent="0.3">
      <c r="A471" s="70"/>
      <c r="C471"/>
      <c r="E471"/>
      <c r="G471"/>
      <c r="I471"/>
      <c r="K471"/>
      <c r="M471"/>
      <c r="O471"/>
      <c r="Q471"/>
      <c r="S471"/>
    </row>
    <row r="472" spans="1:19" x14ac:dyDescent="0.3">
      <c r="A472" s="70"/>
      <c r="C472"/>
      <c r="E472"/>
      <c r="G472"/>
      <c r="I472"/>
      <c r="K472"/>
      <c r="M472"/>
      <c r="O472"/>
      <c r="Q472"/>
      <c r="S472"/>
    </row>
    <row r="473" spans="1:19" x14ac:dyDescent="0.3">
      <c r="A473" s="70"/>
      <c r="C473"/>
      <c r="E473"/>
      <c r="G473"/>
      <c r="I473"/>
      <c r="K473"/>
      <c r="M473"/>
      <c r="O473"/>
      <c r="Q473"/>
      <c r="S473"/>
    </row>
    <row r="474" spans="1:19" x14ac:dyDescent="0.3">
      <c r="A474" s="70"/>
      <c r="C474"/>
      <c r="E474"/>
      <c r="G474"/>
      <c r="I474"/>
      <c r="K474"/>
      <c r="M474"/>
      <c r="O474"/>
      <c r="Q474"/>
      <c r="S474"/>
    </row>
    <row r="475" spans="1:19" x14ac:dyDescent="0.3">
      <c r="A475" s="70"/>
      <c r="C475"/>
      <c r="E475"/>
      <c r="G475"/>
      <c r="I475"/>
      <c r="K475"/>
      <c r="M475"/>
      <c r="O475"/>
      <c r="Q475"/>
      <c r="S475"/>
    </row>
    <row r="476" spans="1:19" x14ac:dyDescent="0.3">
      <c r="A476" s="70"/>
      <c r="C476"/>
      <c r="E476"/>
      <c r="G476"/>
      <c r="I476"/>
      <c r="K476"/>
      <c r="M476"/>
      <c r="O476"/>
      <c r="Q476"/>
      <c r="S476"/>
    </row>
    <row r="477" spans="1:19" x14ac:dyDescent="0.3">
      <c r="A477" s="70"/>
      <c r="C477"/>
      <c r="E477"/>
      <c r="G477"/>
      <c r="I477"/>
      <c r="K477"/>
      <c r="M477"/>
      <c r="O477"/>
      <c r="Q477"/>
      <c r="S477"/>
    </row>
    <row r="478" spans="1:19" x14ac:dyDescent="0.3">
      <c r="A478" s="70"/>
      <c r="C478"/>
      <c r="E478"/>
      <c r="G478"/>
      <c r="I478"/>
      <c r="K478"/>
      <c r="M478"/>
      <c r="O478"/>
      <c r="Q478"/>
      <c r="S478"/>
    </row>
    <row r="479" spans="1:19" x14ac:dyDescent="0.3">
      <c r="A479" s="70"/>
      <c r="C479"/>
      <c r="E479"/>
      <c r="G479"/>
      <c r="I479"/>
      <c r="K479"/>
      <c r="M479"/>
      <c r="O479"/>
      <c r="Q479"/>
      <c r="S479"/>
    </row>
    <row r="480" spans="1:19" x14ac:dyDescent="0.3">
      <c r="A480" s="70"/>
      <c r="C480"/>
      <c r="E480"/>
      <c r="G480"/>
      <c r="I480"/>
      <c r="K480"/>
      <c r="M480"/>
      <c r="O480"/>
      <c r="Q480"/>
      <c r="S480"/>
    </row>
    <row r="481" spans="1:19" x14ac:dyDescent="0.3">
      <c r="A481" s="70"/>
      <c r="C481"/>
      <c r="E481"/>
      <c r="G481"/>
      <c r="I481"/>
      <c r="K481"/>
      <c r="M481"/>
      <c r="O481"/>
      <c r="Q481"/>
      <c r="S481"/>
    </row>
    <row r="482" spans="1:19" x14ac:dyDescent="0.3">
      <c r="A482" s="70"/>
      <c r="C482"/>
      <c r="E482"/>
      <c r="G482"/>
      <c r="I482"/>
      <c r="K482"/>
      <c r="M482"/>
      <c r="O482"/>
      <c r="Q482"/>
      <c r="S482"/>
    </row>
    <row r="483" spans="1:19" x14ac:dyDescent="0.3">
      <c r="A483" s="70"/>
      <c r="C483"/>
      <c r="E483"/>
      <c r="G483"/>
      <c r="I483"/>
      <c r="K483"/>
      <c r="M483"/>
      <c r="O483"/>
      <c r="Q483"/>
      <c r="S483"/>
    </row>
    <row r="484" spans="1:19" x14ac:dyDescent="0.3">
      <c r="A484" s="70"/>
      <c r="C484"/>
      <c r="E484"/>
      <c r="G484"/>
      <c r="I484"/>
      <c r="K484"/>
      <c r="M484"/>
      <c r="O484"/>
      <c r="Q484"/>
      <c r="S484"/>
    </row>
    <row r="485" spans="1:19" x14ac:dyDescent="0.3">
      <c r="A485" s="70"/>
      <c r="C485"/>
      <c r="E485"/>
      <c r="G485"/>
      <c r="I485"/>
      <c r="K485"/>
      <c r="M485"/>
      <c r="O485"/>
      <c r="Q485"/>
      <c r="S485"/>
    </row>
    <row r="486" spans="1:19" x14ac:dyDescent="0.3">
      <c r="A486" s="70"/>
      <c r="C486"/>
      <c r="E486"/>
      <c r="G486"/>
      <c r="I486"/>
      <c r="K486"/>
      <c r="M486"/>
      <c r="O486"/>
      <c r="Q486"/>
      <c r="S486"/>
    </row>
    <row r="487" spans="1:19" x14ac:dyDescent="0.3">
      <c r="A487" s="70"/>
      <c r="C487"/>
      <c r="E487"/>
      <c r="G487"/>
      <c r="I487"/>
      <c r="K487"/>
      <c r="M487"/>
      <c r="O487"/>
      <c r="Q487"/>
      <c r="S487"/>
    </row>
    <row r="488" spans="1:19" x14ac:dyDescent="0.3">
      <c r="A488" s="70"/>
      <c r="C488"/>
      <c r="E488"/>
      <c r="G488"/>
      <c r="I488"/>
      <c r="K488"/>
      <c r="M488"/>
      <c r="O488"/>
      <c r="Q488"/>
      <c r="S488"/>
    </row>
    <row r="489" spans="1:19" x14ac:dyDescent="0.3">
      <c r="A489" s="70"/>
      <c r="C489"/>
      <c r="E489"/>
      <c r="G489"/>
      <c r="I489"/>
      <c r="K489"/>
      <c r="M489"/>
      <c r="O489"/>
      <c r="Q489"/>
      <c r="S489"/>
    </row>
    <row r="490" spans="1:19" x14ac:dyDescent="0.3">
      <c r="A490" s="70"/>
      <c r="C490"/>
      <c r="E490"/>
      <c r="G490"/>
      <c r="I490"/>
      <c r="K490"/>
      <c r="M490"/>
      <c r="O490"/>
      <c r="Q490"/>
      <c r="S490"/>
    </row>
    <row r="491" spans="1:19" x14ac:dyDescent="0.3">
      <c r="A491" s="70"/>
      <c r="C491"/>
      <c r="E491"/>
      <c r="G491"/>
      <c r="I491"/>
      <c r="K491"/>
      <c r="M491"/>
      <c r="O491"/>
      <c r="Q491"/>
      <c r="S491"/>
    </row>
    <row r="492" spans="1:19" x14ac:dyDescent="0.3">
      <c r="A492" s="70"/>
      <c r="C492"/>
      <c r="E492"/>
      <c r="G492"/>
      <c r="I492"/>
      <c r="K492"/>
      <c r="M492"/>
      <c r="O492"/>
      <c r="Q492"/>
      <c r="S492"/>
    </row>
    <row r="493" spans="1:19" x14ac:dyDescent="0.3">
      <c r="A493" s="70"/>
      <c r="C493"/>
      <c r="E493"/>
      <c r="G493"/>
      <c r="I493"/>
      <c r="K493"/>
      <c r="M493"/>
      <c r="O493"/>
      <c r="Q493"/>
      <c r="S493"/>
    </row>
    <row r="494" spans="1:19" x14ac:dyDescent="0.3">
      <c r="A494" s="70"/>
      <c r="C494"/>
      <c r="E494"/>
      <c r="G494"/>
      <c r="I494"/>
      <c r="K494"/>
      <c r="M494"/>
      <c r="O494"/>
      <c r="Q494"/>
      <c r="S494"/>
    </row>
    <row r="495" spans="1:19" x14ac:dyDescent="0.3">
      <c r="A495" s="70"/>
      <c r="C495"/>
      <c r="E495"/>
      <c r="G495"/>
      <c r="I495"/>
      <c r="K495"/>
      <c r="M495"/>
      <c r="O495"/>
      <c r="Q495"/>
      <c r="S495"/>
    </row>
    <row r="496" spans="1:19" x14ac:dyDescent="0.3">
      <c r="A496" s="70"/>
      <c r="C496"/>
      <c r="E496"/>
      <c r="G496"/>
      <c r="I496"/>
      <c r="K496"/>
      <c r="M496"/>
      <c r="O496"/>
      <c r="Q496"/>
      <c r="S496"/>
    </row>
    <row r="497" spans="1:19" x14ac:dyDescent="0.3">
      <c r="A497" s="70"/>
      <c r="C497"/>
      <c r="E497"/>
      <c r="G497"/>
      <c r="I497"/>
      <c r="K497"/>
      <c r="M497"/>
      <c r="O497"/>
      <c r="Q497"/>
      <c r="S497"/>
    </row>
    <row r="498" spans="1:19" x14ac:dyDescent="0.3">
      <c r="A498" s="70"/>
      <c r="C498"/>
      <c r="E498"/>
      <c r="G498"/>
      <c r="I498"/>
      <c r="K498"/>
      <c r="M498"/>
      <c r="O498"/>
      <c r="Q498"/>
      <c r="S498"/>
    </row>
    <row r="499" spans="1:19" x14ac:dyDescent="0.3">
      <c r="A499" s="70"/>
      <c r="C499"/>
      <c r="E499"/>
      <c r="G499"/>
      <c r="I499"/>
      <c r="K499"/>
      <c r="M499"/>
      <c r="O499"/>
      <c r="Q499"/>
      <c r="S499"/>
    </row>
    <row r="500" spans="1:19" x14ac:dyDescent="0.3">
      <c r="A500" s="70"/>
      <c r="C500"/>
      <c r="E500"/>
      <c r="G500"/>
      <c r="I500"/>
      <c r="K500"/>
      <c r="M500"/>
      <c r="O500"/>
      <c r="Q500"/>
      <c r="S500"/>
    </row>
    <row r="501" spans="1:19" x14ac:dyDescent="0.3">
      <c r="A501" s="70"/>
      <c r="C501"/>
      <c r="E501"/>
      <c r="G501"/>
      <c r="I501"/>
      <c r="K501"/>
      <c r="M501"/>
      <c r="O501"/>
      <c r="Q501"/>
      <c r="S501"/>
    </row>
    <row r="502" spans="1:19" x14ac:dyDescent="0.3">
      <c r="A502" s="70"/>
      <c r="C502"/>
      <c r="E502"/>
      <c r="G502"/>
      <c r="I502"/>
      <c r="K502"/>
      <c r="M502"/>
      <c r="O502"/>
      <c r="Q502"/>
      <c r="S502"/>
    </row>
    <row r="503" spans="1:19" x14ac:dyDescent="0.3">
      <c r="A503" s="70"/>
      <c r="C503"/>
      <c r="E503"/>
      <c r="G503"/>
      <c r="I503"/>
      <c r="K503"/>
      <c r="M503"/>
      <c r="O503"/>
      <c r="Q503"/>
      <c r="S503"/>
    </row>
    <row r="504" spans="1:19" x14ac:dyDescent="0.3">
      <c r="A504" s="70"/>
      <c r="C504"/>
      <c r="E504"/>
      <c r="G504"/>
      <c r="I504"/>
      <c r="K504"/>
      <c r="M504"/>
      <c r="O504"/>
      <c r="Q504"/>
      <c r="S504"/>
    </row>
    <row r="505" spans="1:19" x14ac:dyDescent="0.3">
      <c r="A505" s="70"/>
      <c r="C505"/>
      <c r="E505"/>
      <c r="G505"/>
      <c r="I505"/>
      <c r="K505"/>
      <c r="M505"/>
      <c r="O505"/>
      <c r="Q505"/>
      <c r="S505"/>
    </row>
    <row r="506" spans="1:19" x14ac:dyDescent="0.3">
      <c r="A506" s="70"/>
      <c r="C506"/>
      <c r="E506"/>
      <c r="G506"/>
      <c r="I506"/>
      <c r="K506"/>
      <c r="M506"/>
      <c r="O506"/>
      <c r="Q506"/>
      <c r="S506"/>
    </row>
    <row r="507" spans="1:19" x14ac:dyDescent="0.3">
      <c r="A507" s="70"/>
      <c r="C507"/>
      <c r="E507"/>
      <c r="G507"/>
      <c r="I507"/>
      <c r="K507"/>
      <c r="M507"/>
      <c r="O507"/>
      <c r="Q507"/>
      <c r="S507"/>
    </row>
    <row r="508" spans="1:19" x14ac:dyDescent="0.3">
      <c r="A508" s="70"/>
      <c r="C508"/>
      <c r="E508"/>
      <c r="G508"/>
      <c r="I508"/>
      <c r="K508"/>
      <c r="M508"/>
      <c r="O508"/>
      <c r="Q508"/>
      <c r="S508"/>
    </row>
    <row r="509" spans="1:19" x14ac:dyDescent="0.3">
      <c r="A509" s="70"/>
      <c r="C509"/>
      <c r="E509"/>
      <c r="G509"/>
      <c r="I509"/>
      <c r="K509"/>
      <c r="M509"/>
      <c r="O509"/>
      <c r="Q509"/>
      <c r="S509"/>
    </row>
    <row r="510" spans="1:19" x14ac:dyDescent="0.3">
      <c r="A510" s="70"/>
      <c r="C510"/>
      <c r="E510"/>
      <c r="G510"/>
      <c r="I510"/>
      <c r="K510"/>
      <c r="M510"/>
      <c r="O510"/>
      <c r="Q510"/>
      <c r="S510"/>
    </row>
    <row r="511" spans="1:19" x14ac:dyDescent="0.3">
      <c r="A511" s="70"/>
      <c r="C511"/>
      <c r="E511"/>
      <c r="G511"/>
      <c r="I511"/>
      <c r="K511"/>
      <c r="M511"/>
      <c r="O511"/>
      <c r="Q511"/>
      <c r="S511"/>
    </row>
    <row r="512" spans="1:19" x14ac:dyDescent="0.3">
      <c r="A512" s="70"/>
      <c r="C512"/>
      <c r="E512"/>
      <c r="G512"/>
      <c r="I512"/>
      <c r="K512"/>
      <c r="M512"/>
      <c r="O512"/>
      <c r="Q512"/>
      <c r="S512"/>
    </row>
    <row r="513" spans="1:19" x14ac:dyDescent="0.3">
      <c r="A513" s="70"/>
      <c r="C513"/>
      <c r="E513"/>
      <c r="G513"/>
      <c r="I513"/>
      <c r="K513"/>
      <c r="M513"/>
      <c r="O513"/>
      <c r="Q513"/>
      <c r="S513"/>
    </row>
    <row r="514" spans="1:19" x14ac:dyDescent="0.3">
      <c r="A514" s="70"/>
      <c r="C514"/>
      <c r="E514"/>
      <c r="G514"/>
      <c r="I514"/>
      <c r="K514"/>
      <c r="M514"/>
      <c r="O514"/>
      <c r="Q514"/>
      <c r="S514"/>
    </row>
    <row r="515" spans="1:19" x14ac:dyDescent="0.3">
      <c r="A515" s="70"/>
      <c r="C515"/>
      <c r="E515"/>
      <c r="G515"/>
      <c r="I515"/>
      <c r="K515"/>
      <c r="M515"/>
      <c r="O515"/>
      <c r="Q515"/>
      <c r="S515"/>
    </row>
    <row r="516" spans="1:19" x14ac:dyDescent="0.3">
      <c r="A516" s="70"/>
      <c r="C516"/>
      <c r="E516"/>
      <c r="G516"/>
      <c r="I516"/>
      <c r="K516"/>
      <c r="M516"/>
      <c r="O516"/>
      <c r="Q516"/>
      <c r="S516"/>
    </row>
    <row r="517" spans="1:19" x14ac:dyDescent="0.3">
      <c r="A517" s="70"/>
      <c r="C517"/>
      <c r="E517"/>
      <c r="G517"/>
      <c r="I517"/>
      <c r="K517"/>
      <c r="M517"/>
      <c r="O517"/>
      <c r="Q517"/>
      <c r="S517"/>
    </row>
    <row r="518" spans="1:19" x14ac:dyDescent="0.3">
      <c r="A518" s="70"/>
      <c r="C518"/>
      <c r="E518"/>
      <c r="G518"/>
      <c r="I518"/>
      <c r="K518"/>
      <c r="M518"/>
      <c r="O518"/>
      <c r="Q518"/>
      <c r="S518"/>
    </row>
    <row r="519" spans="1:19" x14ac:dyDescent="0.3">
      <c r="A519" s="70"/>
      <c r="C519"/>
      <c r="E519"/>
      <c r="G519"/>
      <c r="I519"/>
      <c r="K519"/>
      <c r="M519"/>
      <c r="O519"/>
      <c r="Q519"/>
      <c r="S519"/>
    </row>
    <row r="520" spans="1:19" x14ac:dyDescent="0.3">
      <c r="A520" s="70"/>
      <c r="C520"/>
      <c r="E520"/>
      <c r="G520"/>
      <c r="I520"/>
      <c r="K520"/>
      <c r="M520"/>
      <c r="O520"/>
      <c r="Q520"/>
      <c r="S520"/>
    </row>
    <row r="521" spans="1:19" x14ac:dyDescent="0.3">
      <c r="A521" s="70"/>
      <c r="C521"/>
      <c r="E521"/>
      <c r="G521"/>
      <c r="I521"/>
      <c r="K521"/>
      <c r="M521"/>
      <c r="O521"/>
      <c r="Q521"/>
      <c r="S521"/>
    </row>
    <row r="522" spans="1:19" x14ac:dyDescent="0.3">
      <c r="A522" s="70"/>
      <c r="C522"/>
      <c r="E522"/>
      <c r="G522"/>
      <c r="I522"/>
      <c r="K522"/>
      <c r="M522"/>
      <c r="O522"/>
      <c r="Q522"/>
      <c r="S522"/>
    </row>
    <row r="523" spans="1:19" x14ac:dyDescent="0.3">
      <c r="A523" s="70"/>
      <c r="C523"/>
      <c r="E523"/>
      <c r="G523"/>
      <c r="I523"/>
      <c r="K523"/>
      <c r="M523"/>
      <c r="O523"/>
      <c r="Q523"/>
      <c r="S523"/>
    </row>
    <row r="524" spans="1:19" x14ac:dyDescent="0.3">
      <c r="A524" s="70"/>
      <c r="C524"/>
      <c r="E524"/>
      <c r="G524"/>
      <c r="I524"/>
      <c r="K524"/>
      <c r="M524"/>
      <c r="O524"/>
      <c r="Q524"/>
      <c r="S524"/>
    </row>
    <row r="525" spans="1:19" x14ac:dyDescent="0.3">
      <c r="A525" s="70"/>
      <c r="C525"/>
      <c r="E525"/>
      <c r="G525"/>
      <c r="I525"/>
      <c r="K525"/>
      <c r="M525"/>
      <c r="O525"/>
      <c r="Q525"/>
      <c r="S525"/>
    </row>
    <row r="526" spans="1:19" x14ac:dyDescent="0.3">
      <c r="A526" s="70"/>
      <c r="C526"/>
      <c r="E526"/>
      <c r="G526"/>
      <c r="I526"/>
      <c r="K526"/>
      <c r="M526"/>
      <c r="O526"/>
      <c r="Q526"/>
      <c r="S526"/>
    </row>
    <row r="527" spans="1:19" x14ac:dyDescent="0.3">
      <c r="A527" s="70"/>
      <c r="C527"/>
      <c r="E527"/>
      <c r="G527"/>
      <c r="I527"/>
      <c r="K527"/>
      <c r="M527"/>
      <c r="O527"/>
      <c r="Q527"/>
      <c r="S527"/>
    </row>
    <row r="528" spans="1:19" x14ac:dyDescent="0.3">
      <c r="A528" s="70"/>
      <c r="C528"/>
      <c r="E528"/>
      <c r="G528"/>
      <c r="I528"/>
      <c r="K528"/>
      <c r="M528"/>
      <c r="O528"/>
      <c r="Q528"/>
      <c r="S528"/>
    </row>
    <row r="529" spans="1:19" x14ac:dyDescent="0.3">
      <c r="A529" s="70"/>
      <c r="C529"/>
      <c r="E529"/>
      <c r="G529"/>
      <c r="I529"/>
      <c r="K529"/>
      <c r="M529"/>
      <c r="O529"/>
      <c r="Q529"/>
      <c r="S529"/>
    </row>
    <row r="530" spans="1:19" x14ac:dyDescent="0.3">
      <c r="A530" s="70"/>
      <c r="C530"/>
      <c r="E530"/>
      <c r="G530"/>
      <c r="I530"/>
      <c r="K530"/>
      <c r="M530"/>
      <c r="O530"/>
      <c r="Q530"/>
      <c r="S530"/>
    </row>
    <row r="531" spans="1:19" x14ac:dyDescent="0.3">
      <c r="A531" s="70"/>
      <c r="C531"/>
      <c r="E531"/>
      <c r="G531"/>
      <c r="I531"/>
      <c r="K531"/>
      <c r="M531"/>
      <c r="O531"/>
      <c r="Q531"/>
      <c r="S531"/>
    </row>
    <row r="532" spans="1:19" x14ac:dyDescent="0.3">
      <c r="A532" s="70"/>
      <c r="C532"/>
      <c r="E532"/>
      <c r="G532"/>
      <c r="I532"/>
      <c r="K532"/>
      <c r="M532"/>
      <c r="O532"/>
      <c r="Q532"/>
      <c r="S532"/>
    </row>
    <row r="533" spans="1:19" x14ac:dyDescent="0.3">
      <c r="A533" s="70"/>
      <c r="C533"/>
      <c r="E533"/>
      <c r="G533"/>
      <c r="I533"/>
      <c r="K533"/>
      <c r="M533"/>
      <c r="O533"/>
      <c r="Q533"/>
      <c r="S533"/>
    </row>
    <row r="534" spans="1:19" x14ac:dyDescent="0.3">
      <c r="A534" s="70"/>
      <c r="C534"/>
      <c r="E534"/>
      <c r="G534"/>
      <c r="I534"/>
      <c r="K534"/>
      <c r="M534"/>
      <c r="O534"/>
      <c r="Q534"/>
      <c r="S534"/>
    </row>
    <row r="535" spans="1:19" x14ac:dyDescent="0.3">
      <c r="A535" s="70"/>
      <c r="C535"/>
      <c r="E535"/>
      <c r="G535"/>
      <c r="I535"/>
      <c r="K535"/>
      <c r="M535"/>
      <c r="O535"/>
      <c r="Q535"/>
      <c r="S535"/>
    </row>
    <row r="536" spans="1:19" x14ac:dyDescent="0.3">
      <c r="A536" s="70"/>
      <c r="C536"/>
      <c r="E536"/>
      <c r="G536"/>
      <c r="I536"/>
      <c r="K536"/>
      <c r="M536"/>
      <c r="O536"/>
      <c r="Q536"/>
      <c r="S536"/>
    </row>
    <row r="537" spans="1:19" x14ac:dyDescent="0.3">
      <c r="A537" s="70"/>
      <c r="C537"/>
      <c r="E537"/>
      <c r="G537"/>
      <c r="I537"/>
      <c r="K537"/>
      <c r="M537"/>
      <c r="O537"/>
      <c r="Q537"/>
      <c r="S537"/>
    </row>
    <row r="538" spans="1:19" x14ac:dyDescent="0.3">
      <c r="A538" s="70"/>
      <c r="C538"/>
      <c r="E538"/>
      <c r="G538"/>
      <c r="I538"/>
      <c r="K538"/>
      <c r="M538"/>
      <c r="O538"/>
      <c r="Q538"/>
      <c r="S538"/>
    </row>
    <row r="539" spans="1:19" x14ac:dyDescent="0.3">
      <c r="A539" s="70"/>
      <c r="C539"/>
      <c r="E539"/>
      <c r="G539"/>
      <c r="I539"/>
      <c r="K539"/>
      <c r="M539"/>
      <c r="O539"/>
      <c r="Q539"/>
      <c r="S539"/>
    </row>
    <row r="540" spans="1:19" x14ac:dyDescent="0.3">
      <c r="A540" s="70"/>
      <c r="C540"/>
      <c r="E540"/>
      <c r="G540"/>
      <c r="I540"/>
      <c r="K540"/>
      <c r="M540"/>
      <c r="O540"/>
      <c r="Q540"/>
      <c r="S540"/>
    </row>
    <row r="541" spans="1:19" x14ac:dyDescent="0.3">
      <c r="A541" s="70"/>
      <c r="C541"/>
      <c r="E541"/>
      <c r="G541"/>
      <c r="I541"/>
      <c r="K541"/>
      <c r="M541"/>
      <c r="O541"/>
      <c r="Q541"/>
      <c r="S541"/>
    </row>
    <row r="542" spans="1:19" x14ac:dyDescent="0.3">
      <c r="A542" s="70"/>
      <c r="C542"/>
      <c r="E542"/>
      <c r="G542"/>
      <c r="I542"/>
      <c r="K542"/>
      <c r="M542"/>
      <c r="O542"/>
      <c r="Q542"/>
      <c r="S542"/>
    </row>
    <row r="543" spans="1:19" x14ac:dyDescent="0.3">
      <c r="A543" s="70"/>
      <c r="C543"/>
      <c r="E543"/>
      <c r="G543"/>
      <c r="I543"/>
      <c r="K543"/>
      <c r="M543"/>
      <c r="O543"/>
      <c r="Q543"/>
      <c r="S543"/>
    </row>
    <row r="544" spans="1:19" x14ac:dyDescent="0.3">
      <c r="A544" s="70"/>
      <c r="C544"/>
      <c r="E544"/>
      <c r="G544"/>
      <c r="I544"/>
      <c r="K544"/>
      <c r="M544"/>
      <c r="O544"/>
      <c r="Q544"/>
      <c r="S544"/>
    </row>
    <row r="545" spans="1:19" x14ac:dyDescent="0.3">
      <c r="A545" s="70"/>
      <c r="C545"/>
      <c r="E545"/>
      <c r="G545"/>
      <c r="I545"/>
      <c r="K545"/>
      <c r="M545"/>
      <c r="O545"/>
      <c r="Q545"/>
      <c r="S545"/>
    </row>
    <row r="546" spans="1:19" x14ac:dyDescent="0.3">
      <c r="A546" s="70"/>
      <c r="C546"/>
      <c r="E546"/>
      <c r="G546"/>
      <c r="I546"/>
      <c r="K546"/>
      <c r="M546"/>
      <c r="O546"/>
      <c r="Q546"/>
      <c r="S546"/>
    </row>
    <row r="547" spans="1:19" x14ac:dyDescent="0.3">
      <c r="A547" s="70"/>
      <c r="C547"/>
      <c r="E547"/>
      <c r="G547"/>
      <c r="I547"/>
      <c r="K547"/>
      <c r="M547"/>
      <c r="O547"/>
      <c r="Q547"/>
      <c r="S547"/>
    </row>
    <row r="548" spans="1:19" x14ac:dyDescent="0.3">
      <c r="A548" s="70"/>
      <c r="C548"/>
      <c r="E548"/>
      <c r="G548"/>
      <c r="I548"/>
      <c r="K548"/>
      <c r="M548"/>
      <c r="O548"/>
      <c r="Q548"/>
      <c r="S548"/>
    </row>
    <row r="549" spans="1:19" x14ac:dyDescent="0.3">
      <c r="A549" s="70"/>
      <c r="C549"/>
      <c r="E549"/>
      <c r="G549"/>
      <c r="I549"/>
      <c r="K549"/>
      <c r="M549"/>
      <c r="O549"/>
      <c r="Q549"/>
      <c r="S549"/>
    </row>
    <row r="550" spans="1:19" x14ac:dyDescent="0.3">
      <c r="A550" s="70"/>
      <c r="C550"/>
      <c r="E550"/>
      <c r="G550"/>
      <c r="I550"/>
      <c r="K550"/>
      <c r="M550"/>
      <c r="O550"/>
      <c r="Q550"/>
      <c r="S550"/>
    </row>
    <row r="551" spans="1:19" x14ac:dyDescent="0.3">
      <c r="A551" s="70"/>
      <c r="C551"/>
      <c r="E551"/>
      <c r="G551"/>
      <c r="I551"/>
      <c r="K551"/>
      <c r="M551"/>
      <c r="O551"/>
      <c r="Q551"/>
      <c r="S551"/>
    </row>
    <row r="552" spans="1:19" x14ac:dyDescent="0.3">
      <c r="A552" s="70"/>
      <c r="C552"/>
      <c r="E552"/>
      <c r="G552"/>
      <c r="I552"/>
      <c r="K552"/>
      <c r="M552"/>
      <c r="O552"/>
      <c r="Q552"/>
      <c r="S552"/>
    </row>
    <row r="553" spans="1:19" x14ac:dyDescent="0.3">
      <c r="A553" s="70"/>
      <c r="C553"/>
      <c r="E553"/>
      <c r="G553"/>
      <c r="I553"/>
      <c r="K553"/>
      <c r="M553"/>
      <c r="O553"/>
      <c r="Q553"/>
      <c r="S553"/>
    </row>
    <row r="554" spans="1:19" x14ac:dyDescent="0.3">
      <c r="A554" s="70"/>
      <c r="C554"/>
      <c r="E554"/>
      <c r="G554"/>
      <c r="I554"/>
      <c r="K554"/>
      <c r="M554"/>
      <c r="O554"/>
      <c r="Q554"/>
      <c r="S554"/>
    </row>
    <row r="555" spans="1:19" x14ac:dyDescent="0.3">
      <c r="A555" s="70"/>
      <c r="C555"/>
      <c r="E555"/>
      <c r="G555"/>
      <c r="I555"/>
      <c r="K555"/>
      <c r="M555"/>
      <c r="O555"/>
      <c r="Q555"/>
      <c r="S555"/>
    </row>
    <row r="556" spans="1:19" x14ac:dyDescent="0.3">
      <c r="A556" s="70"/>
      <c r="C556"/>
      <c r="E556"/>
      <c r="G556"/>
      <c r="I556"/>
      <c r="K556"/>
      <c r="M556"/>
      <c r="O556"/>
      <c r="Q556"/>
      <c r="S556"/>
    </row>
    <row r="557" spans="1:19" x14ac:dyDescent="0.3">
      <c r="A557" s="70"/>
      <c r="C557"/>
      <c r="E557"/>
      <c r="G557"/>
      <c r="I557"/>
      <c r="K557"/>
      <c r="M557"/>
      <c r="O557"/>
      <c r="Q557"/>
      <c r="S557"/>
    </row>
    <row r="558" spans="1:19" x14ac:dyDescent="0.3">
      <c r="A558" s="70"/>
      <c r="C558"/>
      <c r="E558"/>
      <c r="G558"/>
      <c r="I558"/>
      <c r="K558"/>
      <c r="M558"/>
      <c r="O558"/>
      <c r="Q558"/>
      <c r="S558"/>
    </row>
    <row r="559" spans="1:19" x14ac:dyDescent="0.3">
      <c r="A559" s="70"/>
      <c r="C559"/>
      <c r="E559"/>
      <c r="G559"/>
      <c r="I559"/>
      <c r="K559"/>
      <c r="M559"/>
      <c r="O559"/>
      <c r="Q559"/>
      <c r="S559"/>
    </row>
    <row r="560" spans="1:19" x14ac:dyDescent="0.3">
      <c r="A560" s="70"/>
      <c r="C560"/>
      <c r="E560"/>
      <c r="G560"/>
      <c r="I560"/>
      <c r="K560"/>
      <c r="M560"/>
      <c r="O560"/>
      <c r="Q560"/>
      <c r="S560"/>
    </row>
    <row r="561" spans="1:19" x14ac:dyDescent="0.3">
      <c r="A561" s="70"/>
      <c r="C561"/>
      <c r="E561"/>
      <c r="G561"/>
      <c r="I561"/>
      <c r="K561"/>
      <c r="M561"/>
      <c r="O561"/>
      <c r="Q561"/>
      <c r="S561"/>
    </row>
    <row r="562" spans="1:19" x14ac:dyDescent="0.3">
      <c r="A562" s="70"/>
      <c r="C562"/>
      <c r="E562"/>
      <c r="G562"/>
      <c r="I562"/>
      <c r="K562"/>
      <c r="M562"/>
      <c r="O562"/>
      <c r="Q562"/>
      <c r="S562"/>
    </row>
    <row r="563" spans="1:19" x14ac:dyDescent="0.3">
      <c r="A563" s="70"/>
      <c r="C563"/>
      <c r="E563"/>
      <c r="G563"/>
      <c r="I563"/>
      <c r="K563"/>
      <c r="M563"/>
      <c r="O563"/>
      <c r="Q563"/>
      <c r="S563"/>
    </row>
    <row r="564" spans="1:19" x14ac:dyDescent="0.3">
      <c r="A564" s="70"/>
      <c r="C564"/>
      <c r="E564"/>
      <c r="G564"/>
      <c r="I564"/>
      <c r="K564"/>
      <c r="M564"/>
      <c r="O564"/>
      <c r="Q564"/>
      <c r="S564"/>
    </row>
    <row r="565" spans="1:19" x14ac:dyDescent="0.3">
      <c r="A565" s="70"/>
      <c r="C565"/>
      <c r="E565"/>
      <c r="G565"/>
      <c r="I565"/>
      <c r="K565"/>
      <c r="M565"/>
      <c r="O565"/>
      <c r="Q565"/>
      <c r="S565"/>
    </row>
    <row r="566" spans="1:19" x14ac:dyDescent="0.3">
      <c r="A566" s="70"/>
      <c r="C566"/>
      <c r="E566"/>
      <c r="G566"/>
      <c r="I566"/>
      <c r="K566"/>
      <c r="M566"/>
      <c r="O566"/>
      <c r="Q566"/>
      <c r="S566"/>
    </row>
    <row r="567" spans="1:19" x14ac:dyDescent="0.3">
      <c r="A567" s="70"/>
      <c r="C567"/>
      <c r="E567"/>
      <c r="G567"/>
      <c r="I567"/>
      <c r="K567"/>
      <c r="M567"/>
      <c r="O567"/>
      <c r="Q567"/>
      <c r="S567"/>
    </row>
    <row r="568" spans="1:19" x14ac:dyDescent="0.3">
      <c r="A568" s="70"/>
      <c r="C568"/>
      <c r="E568"/>
      <c r="G568"/>
      <c r="I568"/>
      <c r="K568"/>
      <c r="M568"/>
      <c r="O568"/>
      <c r="Q568"/>
      <c r="S568"/>
    </row>
    <row r="569" spans="1:19" x14ac:dyDescent="0.3">
      <c r="A569" s="70"/>
      <c r="C569"/>
      <c r="E569"/>
      <c r="G569"/>
      <c r="I569"/>
      <c r="K569"/>
      <c r="M569"/>
      <c r="O569"/>
      <c r="Q569"/>
      <c r="S569"/>
    </row>
    <row r="570" spans="1:19" x14ac:dyDescent="0.3">
      <c r="A570" s="70"/>
      <c r="C570"/>
      <c r="E570"/>
      <c r="G570"/>
      <c r="I570"/>
      <c r="K570"/>
      <c r="M570"/>
      <c r="O570"/>
      <c r="Q570"/>
      <c r="S570"/>
    </row>
    <row r="571" spans="1:19" x14ac:dyDescent="0.3">
      <c r="A571" s="70"/>
      <c r="C571"/>
      <c r="E571"/>
      <c r="G571"/>
      <c r="I571"/>
      <c r="K571"/>
      <c r="M571"/>
      <c r="O571"/>
      <c r="Q571"/>
      <c r="S571"/>
    </row>
    <row r="572" spans="1:19" x14ac:dyDescent="0.3">
      <c r="A572" s="70"/>
      <c r="C572"/>
      <c r="E572"/>
      <c r="G572"/>
      <c r="I572"/>
      <c r="K572"/>
      <c r="M572"/>
      <c r="O572"/>
      <c r="Q572"/>
      <c r="S572"/>
    </row>
    <row r="573" spans="1:19" x14ac:dyDescent="0.3">
      <c r="A573" s="70"/>
      <c r="C573"/>
      <c r="E573"/>
      <c r="G573"/>
      <c r="I573"/>
      <c r="K573"/>
      <c r="M573"/>
      <c r="O573"/>
      <c r="Q573"/>
      <c r="S573"/>
    </row>
    <row r="574" spans="1:19" x14ac:dyDescent="0.3">
      <c r="A574" s="70"/>
      <c r="C574"/>
      <c r="E574"/>
      <c r="G574"/>
      <c r="I574"/>
      <c r="K574"/>
      <c r="M574"/>
      <c r="O574"/>
      <c r="Q574"/>
      <c r="S574"/>
    </row>
    <row r="575" spans="1:19" x14ac:dyDescent="0.3">
      <c r="A575" s="70"/>
      <c r="C575"/>
      <c r="E575"/>
      <c r="G575"/>
      <c r="I575"/>
      <c r="K575"/>
      <c r="M575"/>
      <c r="O575"/>
      <c r="Q575"/>
      <c r="S575"/>
    </row>
    <row r="576" spans="1:19" x14ac:dyDescent="0.3">
      <c r="A576" s="70"/>
      <c r="C576"/>
      <c r="E576"/>
      <c r="G576"/>
      <c r="I576"/>
      <c r="K576"/>
      <c r="M576"/>
      <c r="O576"/>
      <c r="Q576"/>
      <c r="S576"/>
    </row>
    <row r="577" spans="1:19" x14ac:dyDescent="0.3">
      <c r="A577" s="70"/>
      <c r="C577"/>
      <c r="E577"/>
      <c r="G577"/>
      <c r="I577"/>
      <c r="K577"/>
      <c r="M577"/>
      <c r="O577"/>
      <c r="Q577"/>
      <c r="S577"/>
    </row>
    <row r="578" spans="1:19" x14ac:dyDescent="0.3">
      <c r="A578" s="70"/>
      <c r="C578"/>
      <c r="E578"/>
      <c r="G578"/>
      <c r="I578"/>
      <c r="K578"/>
      <c r="M578"/>
      <c r="O578"/>
      <c r="Q578"/>
      <c r="S578"/>
    </row>
    <row r="579" spans="1:19" x14ac:dyDescent="0.3">
      <c r="A579" s="70"/>
      <c r="C579"/>
      <c r="E579"/>
      <c r="G579"/>
      <c r="I579"/>
      <c r="K579"/>
      <c r="M579"/>
      <c r="O579"/>
      <c r="Q579"/>
      <c r="S579"/>
    </row>
    <row r="580" spans="1:19" x14ac:dyDescent="0.3">
      <c r="A580" s="70"/>
      <c r="C580"/>
      <c r="E580"/>
      <c r="G580"/>
      <c r="I580"/>
      <c r="K580"/>
      <c r="M580"/>
      <c r="O580"/>
      <c r="Q580"/>
      <c r="S580"/>
    </row>
    <row r="581" spans="1:19" x14ac:dyDescent="0.3">
      <c r="A581" s="70"/>
      <c r="C581"/>
      <c r="E581"/>
      <c r="G581"/>
      <c r="I581"/>
      <c r="K581"/>
      <c r="M581"/>
      <c r="O581"/>
      <c r="Q581"/>
      <c r="S581"/>
    </row>
    <row r="582" spans="1:19" x14ac:dyDescent="0.3">
      <c r="A582" s="70"/>
      <c r="C582"/>
      <c r="E582"/>
      <c r="G582"/>
      <c r="I582"/>
      <c r="K582"/>
      <c r="M582"/>
      <c r="O582"/>
      <c r="Q582"/>
      <c r="S582"/>
    </row>
    <row r="583" spans="1:19" x14ac:dyDescent="0.3">
      <c r="A583" s="70"/>
      <c r="C583"/>
      <c r="E583"/>
      <c r="G583"/>
      <c r="I583"/>
      <c r="K583"/>
      <c r="M583"/>
      <c r="O583"/>
      <c r="Q583"/>
      <c r="S583"/>
    </row>
    <row r="584" spans="1:19" x14ac:dyDescent="0.3">
      <c r="A584" s="70"/>
      <c r="C584"/>
      <c r="E584"/>
      <c r="G584"/>
      <c r="I584"/>
      <c r="K584"/>
      <c r="M584"/>
      <c r="O584"/>
      <c r="Q584"/>
      <c r="S584"/>
    </row>
    <row r="585" spans="1:19" x14ac:dyDescent="0.3">
      <c r="A585" s="70"/>
      <c r="C585"/>
      <c r="E585"/>
      <c r="G585"/>
      <c r="I585"/>
      <c r="K585"/>
      <c r="M585"/>
      <c r="O585"/>
      <c r="Q585"/>
      <c r="S585"/>
    </row>
    <row r="586" spans="1:19" x14ac:dyDescent="0.3">
      <c r="A586" s="70"/>
      <c r="C586"/>
      <c r="E586"/>
      <c r="G586"/>
      <c r="I586"/>
      <c r="K586"/>
      <c r="M586"/>
      <c r="O586"/>
      <c r="Q586"/>
      <c r="S586"/>
    </row>
    <row r="587" spans="1:19" x14ac:dyDescent="0.3">
      <c r="A587" s="70"/>
      <c r="C587"/>
      <c r="E587"/>
      <c r="G587"/>
      <c r="I587"/>
      <c r="K587"/>
      <c r="M587"/>
      <c r="O587"/>
      <c r="Q587"/>
      <c r="S587"/>
    </row>
    <row r="588" spans="1:19" x14ac:dyDescent="0.3">
      <c r="A588" s="70"/>
      <c r="C588"/>
      <c r="E588"/>
      <c r="G588"/>
      <c r="I588"/>
      <c r="K588"/>
      <c r="M588"/>
      <c r="O588"/>
      <c r="Q588"/>
      <c r="S588"/>
    </row>
    <row r="589" spans="1:19" x14ac:dyDescent="0.3">
      <c r="A589" s="70"/>
      <c r="C589"/>
      <c r="E589"/>
      <c r="G589"/>
      <c r="I589"/>
      <c r="K589"/>
      <c r="M589"/>
      <c r="O589"/>
      <c r="Q589"/>
      <c r="S589"/>
    </row>
    <row r="590" spans="1:19" x14ac:dyDescent="0.3">
      <c r="A590" s="70"/>
      <c r="C590"/>
      <c r="E590"/>
      <c r="G590"/>
      <c r="I590"/>
      <c r="K590"/>
      <c r="M590"/>
      <c r="O590"/>
      <c r="Q590"/>
      <c r="S590"/>
    </row>
    <row r="591" spans="1:19" x14ac:dyDescent="0.3">
      <c r="A591" s="70"/>
      <c r="C591"/>
      <c r="E591"/>
      <c r="G591"/>
      <c r="I591"/>
      <c r="K591"/>
      <c r="M591"/>
      <c r="O591"/>
      <c r="Q591"/>
      <c r="S591"/>
    </row>
    <row r="592" spans="1:19" x14ac:dyDescent="0.3">
      <c r="A592" s="70"/>
      <c r="C592"/>
      <c r="E592"/>
      <c r="G592"/>
      <c r="I592"/>
      <c r="K592"/>
      <c r="M592"/>
      <c r="O592"/>
      <c r="Q592"/>
      <c r="S592"/>
    </row>
    <row r="593" spans="1:19" x14ac:dyDescent="0.3">
      <c r="A593" s="70"/>
      <c r="C593"/>
      <c r="E593"/>
      <c r="G593"/>
      <c r="I593"/>
      <c r="K593"/>
      <c r="M593"/>
      <c r="O593"/>
      <c r="Q593"/>
      <c r="S593"/>
    </row>
    <row r="594" spans="1:19" x14ac:dyDescent="0.3">
      <c r="A594" s="70"/>
      <c r="C594"/>
      <c r="E594"/>
      <c r="G594"/>
      <c r="I594"/>
      <c r="K594"/>
      <c r="M594"/>
      <c r="O594"/>
      <c r="Q594"/>
      <c r="S594"/>
    </row>
    <row r="595" spans="1:19" x14ac:dyDescent="0.3">
      <c r="A595" s="70"/>
      <c r="C595"/>
      <c r="E595"/>
      <c r="G595"/>
      <c r="I595"/>
      <c r="K595"/>
      <c r="M595"/>
      <c r="O595"/>
      <c r="Q595"/>
      <c r="S595"/>
    </row>
    <row r="596" spans="1:19" x14ac:dyDescent="0.3">
      <c r="A596" s="70"/>
      <c r="C596"/>
      <c r="E596"/>
      <c r="G596"/>
      <c r="I596"/>
      <c r="K596"/>
      <c r="M596"/>
      <c r="O596"/>
      <c r="Q596"/>
      <c r="S596"/>
    </row>
    <row r="597" spans="1:19" x14ac:dyDescent="0.3">
      <c r="A597" s="70"/>
      <c r="C597"/>
      <c r="E597"/>
      <c r="G597"/>
      <c r="I597"/>
      <c r="K597"/>
      <c r="M597"/>
      <c r="O597"/>
      <c r="Q597"/>
      <c r="S597"/>
    </row>
    <row r="598" spans="1:19" x14ac:dyDescent="0.3">
      <c r="A598" s="70"/>
      <c r="C598"/>
      <c r="E598"/>
      <c r="G598"/>
      <c r="I598"/>
      <c r="K598"/>
      <c r="M598"/>
      <c r="O598"/>
      <c r="Q598"/>
      <c r="S598"/>
    </row>
    <row r="599" spans="1:19" x14ac:dyDescent="0.3">
      <c r="A599" s="70"/>
      <c r="C599"/>
      <c r="E599"/>
      <c r="G599"/>
      <c r="I599"/>
      <c r="K599"/>
      <c r="M599"/>
      <c r="O599"/>
      <c r="Q599"/>
      <c r="S599"/>
    </row>
    <row r="600" spans="1:19" x14ac:dyDescent="0.3">
      <c r="A600" s="70"/>
      <c r="C600"/>
      <c r="E600"/>
      <c r="G600"/>
      <c r="I600"/>
      <c r="K600"/>
      <c r="M600"/>
      <c r="O600"/>
      <c r="Q600"/>
      <c r="S600"/>
    </row>
    <row r="601" spans="1:19" x14ac:dyDescent="0.3">
      <c r="A601" s="70"/>
      <c r="C601"/>
      <c r="E601"/>
      <c r="G601"/>
      <c r="I601"/>
      <c r="K601"/>
      <c r="M601"/>
      <c r="O601"/>
      <c r="Q601"/>
      <c r="S601"/>
    </row>
    <row r="602" spans="1:19" x14ac:dyDescent="0.3">
      <c r="A602" s="70"/>
      <c r="C602"/>
      <c r="E602"/>
      <c r="G602"/>
      <c r="I602"/>
      <c r="K602"/>
      <c r="M602"/>
      <c r="O602"/>
      <c r="Q602"/>
      <c r="S602"/>
    </row>
    <row r="603" spans="1:19" x14ac:dyDescent="0.3">
      <c r="A603" s="70"/>
      <c r="C603"/>
      <c r="E603"/>
      <c r="G603"/>
      <c r="I603"/>
      <c r="K603"/>
      <c r="M603"/>
      <c r="O603"/>
      <c r="Q603"/>
      <c r="S603"/>
    </row>
    <row r="604" spans="1:19" x14ac:dyDescent="0.3">
      <c r="A604" s="70"/>
      <c r="C604"/>
      <c r="E604"/>
      <c r="G604"/>
      <c r="I604"/>
      <c r="K604"/>
      <c r="M604"/>
      <c r="O604"/>
      <c r="Q604"/>
      <c r="S604"/>
    </row>
    <row r="605" spans="1:19" x14ac:dyDescent="0.3">
      <c r="A605" s="70"/>
      <c r="C605"/>
      <c r="E605"/>
      <c r="G605"/>
      <c r="I605"/>
      <c r="K605"/>
      <c r="M605"/>
      <c r="O605"/>
      <c r="Q605"/>
      <c r="S605"/>
    </row>
    <row r="606" spans="1:19" x14ac:dyDescent="0.3">
      <c r="A606" s="70"/>
      <c r="C606"/>
      <c r="E606"/>
      <c r="G606"/>
      <c r="I606"/>
      <c r="K606"/>
      <c r="M606"/>
      <c r="O606"/>
      <c r="Q606"/>
      <c r="S606"/>
    </row>
    <row r="607" spans="1:19" x14ac:dyDescent="0.3">
      <c r="A607" s="70"/>
      <c r="C607"/>
      <c r="E607"/>
      <c r="G607"/>
      <c r="I607"/>
      <c r="K607"/>
      <c r="M607"/>
      <c r="O607"/>
      <c r="Q607"/>
      <c r="S607"/>
    </row>
    <row r="608" spans="1:19" x14ac:dyDescent="0.3">
      <c r="A608" s="70"/>
      <c r="C608"/>
      <c r="E608"/>
      <c r="G608"/>
      <c r="I608"/>
      <c r="K608"/>
      <c r="M608"/>
      <c r="O608"/>
      <c r="Q608"/>
      <c r="S608"/>
    </row>
    <row r="609" spans="1:19" x14ac:dyDescent="0.3">
      <c r="A609" s="70"/>
      <c r="C609"/>
      <c r="E609"/>
      <c r="G609"/>
      <c r="I609"/>
      <c r="K609"/>
      <c r="M609"/>
      <c r="O609"/>
      <c r="Q609"/>
      <c r="S609"/>
    </row>
    <row r="610" spans="1:19" x14ac:dyDescent="0.3">
      <c r="A610" s="70"/>
      <c r="C610"/>
      <c r="E610"/>
      <c r="G610"/>
      <c r="I610"/>
      <c r="K610"/>
      <c r="M610"/>
      <c r="O610"/>
      <c r="Q610"/>
      <c r="S610"/>
    </row>
    <row r="611" spans="1:19" x14ac:dyDescent="0.3">
      <c r="A611" s="70"/>
      <c r="C611"/>
      <c r="E611"/>
      <c r="G611"/>
      <c r="I611"/>
      <c r="K611"/>
      <c r="M611"/>
      <c r="O611"/>
      <c r="Q611"/>
      <c r="S611"/>
    </row>
    <row r="612" spans="1:19" x14ac:dyDescent="0.3">
      <c r="A612" s="70"/>
      <c r="C612"/>
      <c r="E612"/>
      <c r="G612"/>
      <c r="I612"/>
      <c r="K612"/>
      <c r="M612"/>
      <c r="O612"/>
      <c r="Q612"/>
      <c r="S612"/>
    </row>
    <row r="613" spans="1:19" x14ac:dyDescent="0.3">
      <c r="A613" s="70"/>
      <c r="C613"/>
      <c r="E613"/>
      <c r="G613"/>
      <c r="I613"/>
      <c r="K613"/>
      <c r="M613"/>
      <c r="O613"/>
      <c r="Q613"/>
      <c r="S613"/>
    </row>
    <row r="614" spans="1:19" x14ac:dyDescent="0.3">
      <c r="A614" s="70"/>
      <c r="C614"/>
      <c r="E614"/>
      <c r="G614"/>
      <c r="I614"/>
      <c r="K614"/>
      <c r="M614"/>
      <c r="O614"/>
      <c r="Q614"/>
      <c r="S614"/>
    </row>
    <row r="615" spans="1:19" x14ac:dyDescent="0.3">
      <c r="A615" s="70"/>
      <c r="C615"/>
      <c r="E615"/>
      <c r="G615"/>
      <c r="I615"/>
      <c r="K615"/>
      <c r="M615"/>
      <c r="O615"/>
      <c r="Q615"/>
      <c r="S615"/>
    </row>
    <row r="616" spans="1:19" x14ac:dyDescent="0.3">
      <c r="A616" s="70"/>
      <c r="C616"/>
      <c r="E616"/>
      <c r="G616"/>
      <c r="I616"/>
      <c r="K616"/>
      <c r="M616"/>
      <c r="O616"/>
      <c r="Q616"/>
      <c r="S616"/>
    </row>
    <row r="617" spans="1:19" x14ac:dyDescent="0.3">
      <c r="A617" s="70"/>
      <c r="C617"/>
      <c r="E617"/>
      <c r="G617"/>
      <c r="I617"/>
      <c r="K617"/>
      <c r="M617"/>
      <c r="O617"/>
      <c r="Q617"/>
      <c r="S617"/>
    </row>
    <row r="618" spans="1:19" x14ac:dyDescent="0.3">
      <c r="A618" s="70"/>
      <c r="C618"/>
      <c r="E618"/>
      <c r="G618"/>
      <c r="I618"/>
      <c r="K618"/>
      <c r="M618"/>
      <c r="O618"/>
      <c r="Q618"/>
      <c r="S618"/>
    </row>
    <row r="619" spans="1:19" x14ac:dyDescent="0.3">
      <c r="A619" s="70"/>
      <c r="C619"/>
      <c r="E619"/>
      <c r="G619"/>
      <c r="I619"/>
      <c r="K619"/>
      <c r="M619"/>
      <c r="O619"/>
      <c r="Q619"/>
      <c r="S619"/>
    </row>
    <row r="620" spans="1:19" x14ac:dyDescent="0.3">
      <c r="A620" s="70"/>
      <c r="C620"/>
      <c r="E620"/>
      <c r="G620"/>
      <c r="I620"/>
      <c r="K620"/>
      <c r="M620"/>
      <c r="O620"/>
      <c r="Q620"/>
      <c r="S620"/>
    </row>
    <row r="621" spans="1:19" x14ac:dyDescent="0.3">
      <c r="A621" s="70"/>
      <c r="C621"/>
      <c r="E621"/>
      <c r="G621"/>
      <c r="I621"/>
      <c r="K621"/>
      <c r="M621"/>
      <c r="O621"/>
      <c r="Q621"/>
      <c r="S621"/>
    </row>
    <row r="622" spans="1:19" x14ac:dyDescent="0.3">
      <c r="A622" s="70"/>
      <c r="C622"/>
      <c r="E622"/>
      <c r="G622"/>
      <c r="I622"/>
      <c r="K622"/>
      <c r="M622"/>
      <c r="O622"/>
      <c r="Q622"/>
      <c r="S622"/>
    </row>
    <row r="623" spans="1:19" x14ac:dyDescent="0.3">
      <c r="A623" s="70"/>
      <c r="C623"/>
      <c r="E623"/>
      <c r="G623"/>
      <c r="I623"/>
      <c r="K623"/>
      <c r="M623"/>
      <c r="O623"/>
      <c r="Q623"/>
      <c r="S623"/>
    </row>
    <row r="624" spans="1:19" x14ac:dyDescent="0.3">
      <c r="A624" s="70"/>
      <c r="C624"/>
      <c r="E624"/>
      <c r="G624"/>
      <c r="I624"/>
      <c r="K624"/>
      <c r="M624"/>
      <c r="O624"/>
      <c r="Q624"/>
      <c r="S624"/>
    </row>
    <row r="625" spans="1:19" x14ac:dyDescent="0.3">
      <c r="A625" s="70"/>
      <c r="C625"/>
      <c r="E625"/>
      <c r="G625"/>
      <c r="I625"/>
      <c r="K625"/>
      <c r="M625"/>
      <c r="O625"/>
      <c r="Q625"/>
      <c r="S625"/>
    </row>
    <row r="626" spans="1:19" x14ac:dyDescent="0.3">
      <c r="A626" s="70"/>
      <c r="C626"/>
      <c r="E626"/>
      <c r="G626"/>
      <c r="I626"/>
      <c r="K626"/>
      <c r="M626"/>
      <c r="O626"/>
      <c r="Q626"/>
      <c r="S626"/>
    </row>
    <row r="627" spans="1:19" x14ac:dyDescent="0.3">
      <c r="A627" s="70"/>
      <c r="C627"/>
      <c r="E627"/>
      <c r="G627"/>
      <c r="I627"/>
      <c r="K627"/>
      <c r="M627"/>
      <c r="O627"/>
      <c r="Q627"/>
      <c r="S627"/>
    </row>
    <row r="628" spans="1:19" x14ac:dyDescent="0.3">
      <c r="A628" s="70"/>
      <c r="C628"/>
      <c r="E628"/>
      <c r="G628"/>
      <c r="I628"/>
      <c r="K628"/>
      <c r="M628"/>
      <c r="O628"/>
      <c r="Q628"/>
      <c r="S628"/>
    </row>
    <row r="629" spans="1:19" x14ac:dyDescent="0.3">
      <c r="A629" s="70"/>
      <c r="C629"/>
      <c r="E629"/>
      <c r="G629"/>
      <c r="I629"/>
      <c r="K629"/>
      <c r="M629"/>
      <c r="O629"/>
      <c r="Q629"/>
      <c r="S629"/>
    </row>
    <row r="630" spans="1:19" x14ac:dyDescent="0.3">
      <c r="A630" s="70"/>
      <c r="C630"/>
      <c r="E630"/>
      <c r="G630"/>
      <c r="I630"/>
      <c r="K630"/>
      <c r="M630"/>
      <c r="O630"/>
      <c r="Q630"/>
      <c r="S630"/>
    </row>
    <row r="631" spans="1:19" x14ac:dyDescent="0.3">
      <c r="A631" s="70"/>
      <c r="C631"/>
      <c r="E631"/>
      <c r="G631"/>
      <c r="I631"/>
      <c r="K631"/>
      <c r="M631"/>
      <c r="O631"/>
      <c r="Q631"/>
      <c r="S631"/>
    </row>
    <row r="632" spans="1:19" x14ac:dyDescent="0.3">
      <c r="A632" s="70"/>
      <c r="C632"/>
      <c r="E632"/>
      <c r="G632"/>
      <c r="I632"/>
      <c r="K632"/>
      <c r="M632"/>
      <c r="O632"/>
      <c r="Q632"/>
      <c r="S632"/>
    </row>
    <row r="633" spans="1:19" x14ac:dyDescent="0.3">
      <c r="A633" s="70"/>
      <c r="C633"/>
      <c r="E633"/>
      <c r="G633"/>
      <c r="I633"/>
      <c r="K633"/>
      <c r="M633"/>
      <c r="O633"/>
      <c r="Q633"/>
      <c r="S633"/>
    </row>
    <row r="634" spans="1:19" x14ac:dyDescent="0.3">
      <c r="A634" s="70"/>
      <c r="C634"/>
      <c r="E634"/>
      <c r="G634"/>
      <c r="I634"/>
      <c r="K634"/>
      <c r="M634"/>
      <c r="O634"/>
      <c r="Q634"/>
      <c r="S634"/>
    </row>
    <row r="635" spans="1:19" x14ac:dyDescent="0.3">
      <c r="A635" s="70"/>
      <c r="C635"/>
      <c r="E635"/>
      <c r="G635"/>
      <c r="I635"/>
      <c r="K635"/>
      <c r="M635"/>
      <c r="O635"/>
      <c r="Q635"/>
      <c r="S635"/>
    </row>
    <row r="636" spans="1:19" x14ac:dyDescent="0.3">
      <c r="A636" s="70"/>
      <c r="C636"/>
      <c r="E636"/>
      <c r="G636"/>
      <c r="I636"/>
      <c r="K636"/>
      <c r="M636"/>
      <c r="O636"/>
      <c r="Q636"/>
      <c r="S636"/>
    </row>
    <row r="637" spans="1:19" x14ac:dyDescent="0.3">
      <c r="A637" s="70"/>
      <c r="C637"/>
      <c r="E637"/>
      <c r="G637"/>
      <c r="I637"/>
      <c r="K637"/>
      <c r="M637"/>
      <c r="O637"/>
      <c r="Q637"/>
      <c r="S637"/>
    </row>
    <row r="638" spans="1:19" x14ac:dyDescent="0.3">
      <c r="A638" s="70"/>
      <c r="C638"/>
      <c r="E638"/>
      <c r="G638"/>
      <c r="I638"/>
      <c r="K638"/>
      <c r="M638"/>
      <c r="O638"/>
      <c r="Q638"/>
      <c r="S638"/>
    </row>
    <row r="639" spans="1:19" x14ac:dyDescent="0.3">
      <c r="A639" s="70"/>
      <c r="C639"/>
      <c r="E639"/>
      <c r="G639"/>
      <c r="I639"/>
      <c r="K639"/>
      <c r="M639"/>
      <c r="O639"/>
      <c r="Q639"/>
      <c r="S639"/>
    </row>
    <row r="640" spans="1:19" x14ac:dyDescent="0.3">
      <c r="A640" s="70"/>
      <c r="C640"/>
      <c r="E640"/>
      <c r="G640"/>
      <c r="I640"/>
      <c r="K640"/>
      <c r="M640"/>
      <c r="O640"/>
      <c r="Q640"/>
      <c r="S640"/>
    </row>
    <row r="641" spans="1:19" x14ac:dyDescent="0.3">
      <c r="A641" s="70"/>
      <c r="C641"/>
      <c r="E641"/>
      <c r="G641"/>
      <c r="I641"/>
      <c r="K641"/>
      <c r="M641"/>
      <c r="O641"/>
      <c r="Q641"/>
      <c r="S641"/>
    </row>
    <row r="642" spans="1:19" x14ac:dyDescent="0.3">
      <c r="A642" s="70"/>
      <c r="C642"/>
      <c r="E642"/>
      <c r="G642"/>
      <c r="I642"/>
      <c r="K642"/>
      <c r="M642"/>
      <c r="O642"/>
      <c r="Q642"/>
      <c r="S642"/>
    </row>
    <row r="643" spans="1:19" x14ac:dyDescent="0.3">
      <c r="A643" s="70"/>
      <c r="C643"/>
      <c r="E643"/>
      <c r="G643"/>
      <c r="I643"/>
      <c r="K643"/>
      <c r="M643"/>
      <c r="O643"/>
      <c r="Q643"/>
      <c r="S643"/>
    </row>
    <row r="644" spans="1:19" x14ac:dyDescent="0.3">
      <c r="A644" s="70"/>
      <c r="C644"/>
      <c r="E644"/>
      <c r="G644"/>
      <c r="I644"/>
      <c r="K644"/>
      <c r="M644"/>
      <c r="O644"/>
      <c r="Q644"/>
      <c r="S644"/>
    </row>
    <row r="645" spans="1:19" x14ac:dyDescent="0.3">
      <c r="A645" s="70"/>
      <c r="C645"/>
      <c r="E645"/>
      <c r="G645"/>
      <c r="I645"/>
      <c r="K645"/>
      <c r="M645"/>
      <c r="O645"/>
      <c r="Q645"/>
      <c r="S645"/>
    </row>
    <row r="646" spans="1:19" x14ac:dyDescent="0.3">
      <c r="A646" s="70"/>
      <c r="C646"/>
      <c r="E646"/>
      <c r="G646"/>
      <c r="I646"/>
      <c r="K646"/>
      <c r="M646"/>
      <c r="O646"/>
      <c r="Q646"/>
      <c r="S646"/>
    </row>
    <row r="647" spans="1:19" x14ac:dyDescent="0.3">
      <c r="A647" s="70"/>
      <c r="C647"/>
      <c r="E647"/>
      <c r="G647"/>
      <c r="I647"/>
      <c r="K647"/>
      <c r="M647"/>
      <c r="O647"/>
      <c r="Q647"/>
      <c r="S647"/>
    </row>
    <row r="648" spans="1:19" x14ac:dyDescent="0.3">
      <c r="A648" s="70"/>
      <c r="C648"/>
      <c r="E648"/>
      <c r="G648"/>
      <c r="I648"/>
      <c r="K648"/>
      <c r="M648"/>
      <c r="O648"/>
      <c r="Q648"/>
      <c r="S648"/>
    </row>
    <row r="649" spans="1:19" x14ac:dyDescent="0.3">
      <c r="A649" s="70"/>
      <c r="C649"/>
      <c r="E649"/>
      <c r="G649"/>
      <c r="I649"/>
      <c r="K649"/>
      <c r="M649"/>
      <c r="O649"/>
      <c r="Q649"/>
      <c r="S649"/>
    </row>
    <row r="650" spans="1:19" x14ac:dyDescent="0.3">
      <c r="A650" s="70"/>
      <c r="C650"/>
      <c r="E650"/>
      <c r="G650"/>
      <c r="I650"/>
      <c r="K650"/>
      <c r="M650"/>
      <c r="O650"/>
      <c r="Q650"/>
      <c r="S650"/>
    </row>
    <row r="651" spans="1:19" x14ac:dyDescent="0.3">
      <c r="A651" s="70"/>
      <c r="C651"/>
      <c r="E651"/>
      <c r="G651"/>
      <c r="I651"/>
      <c r="K651"/>
      <c r="M651"/>
      <c r="O651"/>
      <c r="Q651"/>
      <c r="S651"/>
    </row>
    <row r="652" spans="1:19" x14ac:dyDescent="0.3">
      <c r="A652" s="70"/>
      <c r="C652"/>
      <c r="E652"/>
      <c r="G652"/>
      <c r="I652"/>
      <c r="K652"/>
      <c r="M652"/>
      <c r="O652"/>
      <c r="Q652"/>
      <c r="S652"/>
    </row>
    <row r="653" spans="1:19" x14ac:dyDescent="0.3">
      <c r="A653" s="70"/>
      <c r="C653"/>
      <c r="E653"/>
      <c r="G653"/>
      <c r="I653"/>
      <c r="K653"/>
      <c r="M653"/>
      <c r="O653"/>
      <c r="Q653"/>
      <c r="S653"/>
    </row>
    <row r="654" spans="1:19" x14ac:dyDescent="0.3">
      <c r="A654" s="70"/>
      <c r="C654"/>
      <c r="E654"/>
      <c r="G654"/>
      <c r="I654"/>
      <c r="K654"/>
      <c r="M654"/>
      <c r="O654"/>
      <c r="Q654"/>
      <c r="S654"/>
    </row>
    <row r="655" spans="1:19" x14ac:dyDescent="0.3">
      <c r="A655" s="70"/>
      <c r="C655"/>
      <c r="E655"/>
      <c r="G655"/>
      <c r="I655"/>
      <c r="K655"/>
      <c r="M655"/>
      <c r="O655"/>
      <c r="Q655"/>
      <c r="S655"/>
    </row>
    <row r="656" spans="1:19" x14ac:dyDescent="0.3">
      <c r="A656" s="70"/>
      <c r="C656"/>
      <c r="E656"/>
      <c r="G656"/>
      <c r="I656"/>
      <c r="K656"/>
      <c r="M656"/>
      <c r="O656"/>
      <c r="Q656"/>
      <c r="S656"/>
    </row>
    <row r="657" spans="1:19" x14ac:dyDescent="0.3">
      <c r="A657" s="70"/>
      <c r="C657"/>
      <c r="E657"/>
      <c r="G657"/>
      <c r="I657"/>
      <c r="K657"/>
      <c r="M657"/>
      <c r="O657"/>
      <c r="Q657"/>
      <c r="S657"/>
    </row>
    <row r="658" spans="1:19" x14ac:dyDescent="0.3">
      <c r="A658" s="70"/>
      <c r="C658"/>
      <c r="E658"/>
      <c r="G658"/>
      <c r="I658"/>
      <c r="K658"/>
      <c r="M658"/>
      <c r="O658"/>
      <c r="Q658"/>
      <c r="S658"/>
    </row>
    <row r="659" spans="1:19" x14ac:dyDescent="0.3">
      <c r="A659" s="70"/>
      <c r="C659"/>
      <c r="E659"/>
      <c r="G659"/>
      <c r="I659"/>
      <c r="K659"/>
      <c r="M659"/>
      <c r="O659"/>
      <c r="Q659"/>
      <c r="S659"/>
    </row>
    <row r="660" spans="1:19" x14ac:dyDescent="0.3">
      <c r="A660" s="70"/>
      <c r="C660"/>
      <c r="E660"/>
      <c r="G660"/>
      <c r="I660"/>
      <c r="K660"/>
      <c r="M660"/>
      <c r="O660"/>
      <c r="Q660"/>
      <c r="S660"/>
    </row>
    <row r="661" spans="1:19" x14ac:dyDescent="0.3">
      <c r="A661" s="70"/>
      <c r="C661"/>
      <c r="E661"/>
      <c r="G661"/>
      <c r="I661"/>
      <c r="K661"/>
      <c r="M661"/>
      <c r="O661"/>
      <c r="Q661"/>
      <c r="S661"/>
    </row>
    <row r="662" spans="1:19" x14ac:dyDescent="0.3">
      <c r="A662" s="70"/>
      <c r="C662"/>
      <c r="E662"/>
      <c r="G662"/>
      <c r="I662"/>
      <c r="K662"/>
      <c r="M662"/>
      <c r="O662"/>
      <c r="Q662"/>
      <c r="S662"/>
    </row>
    <row r="663" spans="1:19" x14ac:dyDescent="0.3">
      <c r="A663" s="70"/>
      <c r="C663"/>
      <c r="E663"/>
      <c r="G663"/>
      <c r="I663"/>
      <c r="K663"/>
      <c r="M663"/>
      <c r="O663"/>
      <c r="Q663"/>
      <c r="S663"/>
    </row>
    <row r="664" spans="1:19" x14ac:dyDescent="0.3">
      <c r="A664" s="70"/>
      <c r="C664"/>
      <c r="E664"/>
      <c r="G664"/>
      <c r="I664"/>
      <c r="K664"/>
      <c r="M664"/>
      <c r="O664"/>
      <c r="Q664"/>
      <c r="S664"/>
    </row>
    <row r="665" spans="1:19" x14ac:dyDescent="0.3">
      <c r="A665" s="70"/>
      <c r="C665"/>
      <c r="E665"/>
      <c r="G665"/>
      <c r="I665"/>
      <c r="K665"/>
      <c r="M665"/>
      <c r="O665"/>
      <c r="Q665"/>
      <c r="S665"/>
    </row>
    <row r="666" spans="1:19" x14ac:dyDescent="0.3">
      <c r="A666" s="70"/>
      <c r="C666"/>
      <c r="E666"/>
      <c r="G666"/>
      <c r="I666"/>
      <c r="K666"/>
      <c r="M666"/>
      <c r="O666"/>
      <c r="Q666"/>
      <c r="S666"/>
    </row>
    <row r="667" spans="1:19" x14ac:dyDescent="0.3">
      <c r="A667" s="70"/>
      <c r="C667"/>
      <c r="E667"/>
      <c r="G667"/>
      <c r="I667"/>
      <c r="K667"/>
      <c r="M667"/>
      <c r="O667"/>
      <c r="Q667"/>
      <c r="S667"/>
    </row>
    <row r="668" spans="1:19" x14ac:dyDescent="0.3">
      <c r="A668" s="70"/>
      <c r="C668"/>
      <c r="E668"/>
      <c r="G668"/>
      <c r="I668"/>
      <c r="K668"/>
      <c r="M668"/>
      <c r="O668"/>
      <c r="Q668"/>
      <c r="S668"/>
    </row>
    <row r="669" spans="1:19" x14ac:dyDescent="0.3">
      <c r="A669" s="70"/>
      <c r="C669"/>
      <c r="E669"/>
      <c r="G669"/>
      <c r="I669"/>
      <c r="K669"/>
      <c r="M669"/>
      <c r="O669"/>
      <c r="Q669"/>
      <c r="S669"/>
    </row>
    <row r="670" spans="1:19" x14ac:dyDescent="0.3">
      <c r="A670" s="70"/>
      <c r="C670"/>
      <c r="E670"/>
      <c r="G670"/>
      <c r="I670"/>
      <c r="K670"/>
      <c r="M670"/>
      <c r="O670"/>
      <c r="Q670"/>
      <c r="S670"/>
    </row>
    <row r="671" spans="1:19" x14ac:dyDescent="0.3">
      <c r="A671" s="70"/>
      <c r="C671"/>
      <c r="E671"/>
      <c r="G671"/>
      <c r="I671"/>
      <c r="K671"/>
      <c r="M671"/>
      <c r="O671"/>
      <c r="Q671"/>
      <c r="S671"/>
    </row>
    <row r="672" spans="1:19" x14ac:dyDescent="0.3">
      <c r="A672" s="70"/>
      <c r="C672"/>
      <c r="E672"/>
      <c r="G672"/>
      <c r="I672"/>
      <c r="K672"/>
      <c r="M672"/>
      <c r="O672"/>
      <c r="Q672"/>
      <c r="S672"/>
    </row>
    <row r="673" spans="1:19" x14ac:dyDescent="0.3">
      <c r="A673" s="70"/>
      <c r="C673"/>
      <c r="E673"/>
      <c r="G673"/>
      <c r="I673"/>
      <c r="K673"/>
      <c r="M673"/>
      <c r="O673"/>
      <c r="Q673"/>
      <c r="S673"/>
    </row>
    <row r="674" spans="1:19" x14ac:dyDescent="0.3">
      <c r="A674" s="70"/>
      <c r="C674"/>
      <c r="E674"/>
      <c r="G674"/>
      <c r="I674"/>
      <c r="K674"/>
      <c r="M674"/>
      <c r="O674"/>
      <c r="Q674"/>
      <c r="S674"/>
    </row>
    <row r="675" spans="1:19" x14ac:dyDescent="0.3">
      <c r="A675" s="70"/>
      <c r="C675"/>
      <c r="E675"/>
      <c r="G675"/>
      <c r="I675"/>
      <c r="K675"/>
      <c r="M675"/>
      <c r="O675"/>
      <c r="Q675"/>
      <c r="S675"/>
    </row>
    <row r="676" spans="1:19" x14ac:dyDescent="0.3">
      <c r="A676" s="70"/>
      <c r="C676"/>
      <c r="E676"/>
      <c r="G676"/>
      <c r="I676"/>
      <c r="K676"/>
      <c r="M676"/>
      <c r="O676"/>
      <c r="Q676"/>
      <c r="S676"/>
    </row>
    <row r="677" spans="1:19" x14ac:dyDescent="0.3">
      <c r="A677" s="70"/>
      <c r="C677"/>
      <c r="E677"/>
      <c r="G677"/>
      <c r="I677"/>
      <c r="K677"/>
      <c r="M677"/>
      <c r="O677"/>
      <c r="Q677"/>
      <c r="S677"/>
    </row>
    <row r="678" spans="1:19" x14ac:dyDescent="0.3">
      <c r="A678" s="70"/>
      <c r="C678"/>
      <c r="E678"/>
      <c r="G678"/>
      <c r="I678"/>
      <c r="K678"/>
      <c r="M678"/>
      <c r="O678"/>
      <c r="Q678"/>
      <c r="S678"/>
    </row>
    <row r="679" spans="1:19" x14ac:dyDescent="0.3">
      <c r="A679" s="70"/>
      <c r="C679"/>
      <c r="E679"/>
      <c r="G679"/>
      <c r="I679"/>
      <c r="K679"/>
      <c r="M679"/>
      <c r="O679"/>
      <c r="Q679"/>
      <c r="S679"/>
    </row>
    <row r="680" spans="1:19" x14ac:dyDescent="0.3">
      <c r="A680" s="70"/>
      <c r="C680"/>
      <c r="E680"/>
      <c r="G680"/>
      <c r="I680"/>
      <c r="K680"/>
      <c r="M680"/>
      <c r="O680"/>
      <c r="Q680"/>
      <c r="S680"/>
    </row>
    <row r="681" spans="1:19" x14ac:dyDescent="0.3">
      <c r="A681" s="70"/>
      <c r="C681"/>
      <c r="E681"/>
      <c r="G681"/>
      <c r="I681"/>
      <c r="K681"/>
      <c r="M681"/>
      <c r="O681"/>
      <c r="Q681"/>
      <c r="S681"/>
    </row>
    <row r="682" spans="1:19" x14ac:dyDescent="0.3">
      <c r="A682" s="70"/>
      <c r="C682"/>
      <c r="E682"/>
      <c r="G682"/>
      <c r="I682"/>
      <c r="K682"/>
      <c r="M682"/>
      <c r="O682"/>
      <c r="Q682"/>
      <c r="S682"/>
    </row>
    <row r="683" spans="1:19" x14ac:dyDescent="0.3">
      <c r="A683" s="70"/>
      <c r="C683"/>
      <c r="E683"/>
      <c r="G683"/>
      <c r="I683"/>
      <c r="K683"/>
      <c r="M683"/>
      <c r="O683"/>
      <c r="Q683"/>
      <c r="S683"/>
    </row>
    <row r="684" spans="1:19" x14ac:dyDescent="0.3">
      <c r="A684" s="70"/>
      <c r="C684"/>
      <c r="E684"/>
      <c r="G684"/>
      <c r="I684"/>
      <c r="K684"/>
      <c r="M684"/>
      <c r="O684"/>
      <c r="Q684"/>
      <c r="S684"/>
    </row>
    <row r="685" spans="1:19" x14ac:dyDescent="0.3">
      <c r="A685" s="70"/>
      <c r="C685"/>
      <c r="E685"/>
      <c r="G685"/>
      <c r="I685"/>
      <c r="K685"/>
      <c r="M685"/>
      <c r="O685"/>
      <c r="Q685"/>
      <c r="S685"/>
    </row>
    <row r="686" spans="1:19" x14ac:dyDescent="0.3">
      <c r="A686" s="70"/>
      <c r="C686"/>
      <c r="E686"/>
      <c r="G686"/>
      <c r="I686"/>
      <c r="K686"/>
      <c r="M686"/>
      <c r="O686"/>
      <c r="Q686"/>
      <c r="S686"/>
    </row>
    <row r="687" spans="1:19" x14ac:dyDescent="0.3">
      <c r="A687" s="70"/>
      <c r="C687"/>
      <c r="E687"/>
      <c r="G687"/>
      <c r="I687"/>
      <c r="K687"/>
      <c r="M687"/>
      <c r="O687"/>
      <c r="Q687"/>
      <c r="S687"/>
    </row>
    <row r="688" spans="1:19" x14ac:dyDescent="0.3">
      <c r="A688" s="70"/>
      <c r="C688"/>
      <c r="E688"/>
      <c r="G688"/>
      <c r="I688"/>
      <c r="K688"/>
      <c r="M688"/>
      <c r="O688"/>
      <c r="Q688"/>
      <c r="S688"/>
    </row>
    <row r="689" spans="1:19" x14ac:dyDescent="0.3">
      <c r="A689" s="70"/>
      <c r="C689"/>
      <c r="E689"/>
      <c r="G689"/>
      <c r="I689"/>
      <c r="K689"/>
      <c r="M689"/>
      <c r="O689"/>
      <c r="Q689"/>
      <c r="S689"/>
    </row>
    <row r="690" spans="1:19" x14ac:dyDescent="0.3">
      <c r="A690" s="70"/>
      <c r="C690"/>
      <c r="E690"/>
      <c r="G690"/>
      <c r="I690"/>
      <c r="K690"/>
      <c r="M690"/>
      <c r="O690"/>
      <c r="Q690"/>
      <c r="S690"/>
    </row>
    <row r="691" spans="1:19" x14ac:dyDescent="0.3">
      <c r="A691" s="70"/>
      <c r="C691"/>
      <c r="E691"/>
      <c r="G691"/>
      <c r="I691"/>
      <c r="K691"/>
      <c r="M691"/>
      <c r="O691"/>
      <c r="Q691"/>
      <c r="S691"/>
    </row>
    <row r="692" spans="1:19" x14ac:dyDescent="0.3">
      <c r="A692" s="70"/>
      <c r="C692"/>
      <c r="E692"/>
      <c r="G692"/>
      <c r="I692"/>
      <c r="K692"/>
      <c r="M692"/>
      <c r="O692"/>
      <c r="Q692"/>
      <c r="S692"/>
    </row>
    <row r="693" spans="1:19" x14ac:dyDescent="0.3">
      <c r="A693" s="70"/>
      <c r="C693"/>
      <c r="E693"/>
      <c r="G693"/>
      <c r="I693"/>
      <c r="K693"/>
      <c r="M693"/>
      <c r="O693"/>
      <c r="Q693"/>
      <c r="S693"/>
    </row>
    <row r="694" spans="1:19" x14ac:dyDescent="0.3">
      <c r="A694" s="70"/>
      <c r="C694"/>
      <c r="E694"/>
      <c r="G694"/>
      <c r="I694"/>
      <c r="K694"/>
      <c r="M694"/>
      <c r="O694"/>
      <c r="Q694"/>
      <c r="S694"/>
    </row>
    <row r="695" spans="1:19" x14ac:dyDescent="0.3">
      <c r="A695" s="70"/>
      <c r="C695"/>
      <c r="E695"/>
      <c r="G695"/>
      <c r="I695"/>
      <c r="K695"/>
      <c r="M695"/>
      <c r="O695"/>
      <c r="Q695"/>
      <c r="S695"/>
    </row>
    <row r="696" spans="1:19" x14ac:dyDescent="0.3">
      <c r="A696" s="70"/>
      <c r="C696"/>
      <c r="E696"/>
      <c r="G696"/>
      <c r="I696"/>
      <c r="K696"/>
      <c r="M696"/>
      <c r="O696"/>
      <c r="Q696"/>
      <c r="S696"/>
    </row>
    <row r="697" spans="1:19" x14ac:dyDescent="0.3">
      <c r="A697" s="70"/>
      <c r="C697"/>
      <c r="E697"/>
      <c r="G697"/>
      <c r="I697"/>
      <c r="K697"/>
      <c r="M697"/>
      <c r="O697"/>
      <c r="Q697"/>
      <c r="S697"/>
    </row>
    <row r="698" spans="1:19" x14ac:dyDescent="0.3">
      <c r="A698" s="70"/>
      <c r="C698"/>
      <c r="E698"/>
      <c r="G698"/>
      <c r="I698"/>
      <c r="K698"/>
      <c r="M698"/>
      <c r="O698"/>
      <c r="Q698"/>
      <c r="S698"/>
    </row>
    <row r="699" spans="1:19" x14ac:dyDescent="0.3">
      <c r="A699" s="70"/>
      <c r="C699"/>
      <c r="E699"/>
      <c r="G699"/>
      <c r="I699"/>
      <c r="K699"/>
      <c r="M699"/>
      <c r="O699"/>
      <c r="Q699"/>
      <c r="S699"/>
    </row>
    <row r="700" spans="1:19" x14ac:dyDescent="0.3">
      <c r="A700" s="70"/>
      <c r="C700"/>
      <c r="E700"/>
      <c r="G700"/>
      <c r="I700"/>
      <c r="K700"/>
      <c r="M700"/>
      <c r="O700"/>
      <c r="Q700"/>
      <c r="S700"/>
    </row>
    <row r="701" spans="1:19" x14ac:dyDescent="0.3">
      <c r="A701" s="70"/>
      <c r="C701"/>
      <c r="E701"/>
      <c r="G701"/>
      <c r="I701"/>
      <c r="K701"/>
      <c r="M701"/>
      <c r="O701"/>
      <c r="Q701"/>
      <c r="S701"/>
    </row>
    <row r="702" spans="1:19" x14ac:dyDescent="0.3">
      <c r="A702" s="70"/>
      <c r="C702"/>
      <c r="E702"/>
      <c r="G702"/>
      <c r="I702"/>
      <c r="K702"/>
      <c r="M702"/>
      <c r="O702"/>
      <c r="Q702"/>
      <c r="S702"/>
    </row>
    <row r="703" spans="1:19" x14ac:dyDescent="0.3">
      <c r="A703" s="70"/>
      <c r="C703"/>
      <c r="E703"/>
      <c r="G703"/>
      <c r="I703"/>
      <c r="K703"/>
      <c r="M703"/>
      <c r="O703"/>
      <c r="Q703"/>
      <c r="S703"/>
    </row>
    <row r="704" spans="1:19" x14ac:dyDescent="0.3">
      <c r="A704" s="70"/>
      <c r="C704"/>
      <c r="E704"/>
      <c r="G704"/>
      <c r="I704"/>
      <c r="K704"/>
      <c r="M704"/>
      <c r="O704"/>
      <c r="Q704"/>
      <c r="S704"/>
    </row>
    <row r="705" spans="1:19" x14ac:dyDescent="0.3">
      <c r="A705" s="70"/>
      <c r="C705"/>
      <c r="E705"/>
      <c r="G705"/>
      <c r="I705"/>
      <c r="K705"/>
      <c r="M705"/>
      <c r="O705"/>
      <c r="Q705"/>
      <c r="S705"/>
    </row>
    <row r="706" spans="1:19" x14ac:dyDescent="0.3">
      <c r="A706" s="70"/>
      <c r="C706"/>
      <c r="E706"/>
      <c r="G706"/>
      <c r="I706"/>
      <c r="K706"/>
      <c r="M706"/>
      <c r="O706"/>
      <c r="Q706"/>
      <c r="S706"/>
    </row>
    <row r="707" spans="1:19" x14ac:dyDescent="0.3">
      <c r="A707" s="70"/>
      <c r="C707"/>
      <c r="E707"/>
      <c r="G707"/>
      <c r="I707"/>
      <c r="K707"/>
      <c r="M707"/>
      <c r="O707"/>
      <c r="Q707"/>
      <c r="S707"/>
    </row>
    <row r="708" spans="1:19" x14ac:dyDescent="0.3">
      <c r="A708" s="70"/>
      <c r="C708"/>
      <c r="E708"/>
      <c r="G708"/>
      <c r="I708"/>
      <c r="K708"/>
      <c r="M708"/>
      <c r="O708"/>
      <c r="Q708"/>
      <c r="S708"/>
    </row>
    <row r="709" spans="1:19" x14ac:dyDescent="0.3">
      <c r="A709" s="70"/>
      <c r="C709"/>
      <c r="E709"/>
      <c r="G709"/>
      <c r="I709"/>
      <c r="K709"/>
      <c r="M709"/>
      <c r="O709"/>
      <c r="Q709"/>
      <c r="S709"/>
    </row>
    <row r="710" spans="1:19" x14ac:dyDescent="0.3">
      <c r="A710" s="70"/>
      <c r="C710"/>
      <c r="E710"/>
      <c r="G710"/>
      <c r="I710"/>
      <c r="K710"/>
      <c r="M710"/>
      <c r="O710"/>
      <c r="Q710"/>
      <c r="S710"/>
    </row>
    <row r="711" spans="1:19" x14ac:dyDescent="0.3">
      <c r="A711" s="70"/>
      <c r="C711"/>
      <c r="E711"/>
      <c r="G711"/>
      <c r="I711"/>
      <c r="K711"/>
      <c r="M711"/>
      <c r="O711"/>
      <c r="Q711"/>
      <c r="S711"/>
    </row>
    <row r="712" spans="1:19" x14ac:dyDescent="0.3">
      <c r="A712" s="70"/>
      <c r="C712"/>
      <c r="E712"/>
      <c r="G712"/>
      <c r="I712"/>
      <c r="K712"/>
      <c r="M712"/>
      <c r="O712"/>
      <c r="Q712"/>
      <c r="S712"/>
    </row>
    <row r="713" spans="1:19" x14ac:dyDescent="0.3">
      <c r="A713" s="70"/>
      <c r="C713"/>
      <c r="E713"/>
      <c r="G713"/>
      <c r="I713"/>
      <c r="K713"/>
      <c r="M713"/>
      <c r="O713"/>
      <c r="Q713"/>
      <c r="S713"/>
    </row>
    <row r="714" spans="1:19" x14ac:dyDescent="0.3">
      <c r="A714" s="70"/>
      <c r="C714"/>
      <c r="E714"/>
      <c r="G714"/>
      <c r="I714"/>
      <c r="K714"/>
      <c r="M714"/>
      <c r="O714"/>
      <c r="Q714"/>
      <c r="S714"/>
    </row>
    <row r="715" spans="1:19" x14ac:dyDescent="0.3">
      <c r="A715" s="70"/>
      <c r="C715"/>
      <c r="E715"/>
      <c r="G715"/>
      <c r="I715"/>
      <c r="K715"/>
      <c r="M715"/>
      <c r="O715"/>
      <c r="Q715"/>
      <c r="S715"/>
    </row>
    <row r="716" spans="1:19" x14ac:dyDescent="0.3">
      <c r="A716" s="70"/>
      <c r="C716"/>
      <c r="E716"/>
      <c r="G716"/>
      <c r="I716"/>
      <c r="K716"/>
      <c r="M716"/>
      <c r="O716"/>
      <c r="Q716"/>
      <c r="S716"/>
    </row>
    <row r="717" spans="1:19" x14ac:dyDescent="0.3">
      <c r="A717" s="70"/>
      <c r="C717"/>
      <c r="E717"/>
      <c r="G717"/>
      <c r="I717"/>
      <c r="K717"/>
      <c r="M717"/>
      <c r="O717"/>
      <c r="Q717"/>
      <c r="S717"/>
    </row>
    <row r="718" spans="1:19" x14ac:dyDescent="0.3">
      <c r="A718" s="70"/>
      <c r="C718"/>
      <c r="E718"/>
      <c r="G718"/>
      <c r="I718"/>
      <c r="K718"/>
      <c r="M718"/>
      <c r="O718"/>
      <c r="Q718"/>
      <c r="S718"/>
    </row>
    <row r="719" spans="1:19" x14ac:dyDescent="0.3">
      <c r="A719" s="70"/>
      <c r="C719"/>
      <c r="E719"/>
      <c r="G719"/>
      <c r="I719"/>
      <c r="K719"/>
      <c r="M719"/>
      <c r="O719"/>
      <c r="Q719"/>
      <c r="S719"/>
    </row>
    <row r="720" spans="1:19" x14ac:dyDescent="0.3">
      <c r="A720" s="70"/>
      <c r="C720"/>
      <c r="E720"/>
      <c r="G720"/>
      <c r="I720"/>
      <c r="K720"/>
      <c r="M720"/>
      <c r="O720"/>
      <c r="Q720"/>
      <c r="S720"/>
    </row>
    <row r="721" spans="1:19" x14ac:dyDescent="0.3">
      <c r="A721" s="70"/>
      <c r="C721"/>
      <c r="E721"/>
      <c r="G721"/>
      <c r="I721"/>
      <c r="K721"/>
      <c r="M721"/>
      <c r="O721"/>
      <c r="Q721"/>
      <c r="S721"/>
    </row>
    <row r="722" spans="1:19" x14ac:dyDescent="0.3">
      <c r="A722" s="70"/>
      <c r="C722"/>
      <c r="E722"/>
      <c r="G722"/>
      <c r="I722"/>
      <c r="K722"/>
      <c r="M722"/>
      <c r="O722"/>
      <c r="Q722"/>
      <c r="S722"/>
    </row>
    <row r="723" spans="1:19" x14ac:dyDescent="0.3">
      <c r="A723" s="70"/>
      <c r="C723"/>
      <c r="E723"/>
      <c r="G723"/>
      <c r="I723"/>
      <c r="K723"/>
      <c r="M723"/>
      <c r="O723"/>
      <c r="Q723"/>
      <c r="S723"/>
    </row>
    <row r="724" spans="1:19" x14ac:dyDescent="0.3">
      <c r="A724" s="70"/>
      <c r="C724"/>
      <c r="E724"/>
      <c r="G724"/>
      <c r="I724"/>
      <c r="K724"/>
      <c r="M724"/>
      <c r="O724"/>
      <c r="Q724"/>
      <c r="S724"/>
    </row>
    <row r="725" spans="1:19" x14ac:dyDescent="0.3">
      <c r="A725" s="70"/>
      <c r="C725"/>
      <c r="E725"/>
      <c r="G725"/>
      <c r="I725"/>
      <c r="K725"/>
      <c r="M725"/>
      <c r="O725"/>
      <c r="Q725"/>
      <c r="S725"/>
    </row>
    <row r="726" spans="1:19" x14ac:dyDescent="0.3">
      <c r="A726" s="70"/>
      <c r="C726"/>
      <c r="E726"/>
      <c r="G726"/>
      <c r="I726"/>
      <c r="K726"/>
      <c r="M726"/>
      <c r="O726"/>
      <c r="Q726"/>
      <c r="S726"/>
    </row>
    <row r="727" spans="1:19" x14ac:dyDescent="0.3">
      <c r="A727" s="70"/>
      <c r="C727"/>
      <c r="E727"/>
      <c r="G727"/>
      <c r="I727"/>
      <c r="K727"/>
      <c r="M727"/>
      <c r="O727"/>
      <c r="Q727"/>
      <c r="S727"/>
    </row>
    <row r="728" spans="1:19" x14ac:dyDescent="0.3">
      <c r="A728" s="70"/>
      <c r="C728"/>
      <c r="E728"/>
      <c r="G728"/>
      <c r="I728"/>
      <c r="K728"/>
      <c r="M728"/>
      <c r="O728"/>
      <c r="Q728"/>
      <c r="S728"/>
    </row>
    <row r="729" spans="1:19" x14ac:dyDescent="0.3">
      <c r="A729" s="70"/>
      <c r="C729"/>
      <c r="E729"/>
      <c r="G729"/>
      <c r="I729"/>
      <c r="K729"/>
      <c r="M729"/>
      <c r="O729"/>
      <c r="Q729"/>
      <c r="S729"/>
    </row>
    <row r="730" spans="1:19" x14ac:dyDescent="0.3">
      <c r="A730" s="70"/>
      <c r="C730"/>
      <c r="E730"/>
      <c r="G730"/>
      <c r="I730"/>
      <c r="K730"/>
      <c r="M730"/>
      <c r="O730"/>
      <c r="Q730"/>
      <c r="S730"/>
    </row>
    <row r="731" spans="1:19" x14ac:dyDescent="0.3">
      <c r="A731" s="70"/>
      <c r="C731"/>
      <c r="E731"/>
      <c r="G731"/>
      <c r="I731"/>
      <c r="K731"/>
      <c r="M731"/>
      <c r="O731"/>
      <c r="Q731"/>
      <c r="S731"/>
    </row>
    <row r="732" spans="1:19" x14ac:dyDescent="0.3">
      <c r="A732" s="70"/>
      <c r="C732"/>
      <c r="E732"/>
      <c r="G732"/>
      <c r="I732"/>
      <c r="K732"/>
      <c r="M732"/>
      <c r="O732"/>
      <c r="Q732"/>
      <c r="S732"/>
    </row>
    <row r="733" spans="1:19" x14ac:dyDescent="0.3">
      <c r="A733" s="70"/>
      <c r="C733"/>
      <c r="E733"/>
      <c r="G733"/>
      <c r="I733"/>
      <c r="K733"/>
      <c r="M733"/>
      <c r="O733"/>
      <c r="Q733"/>
      <c r="S733"/>
    </row>
    <row r="734" spans="1:19" x14ac:dyDescent="0.3">
      <c r="A734" s="70"/>
      <c r="C734"/>
      <c r="E734"/>
      <c r="G734"/>
      <c r="I734"/>
      <c r="K734"/>
      <c r="M734"/>
      <c r="O734"/>
      <c r="Q734"/>
      <c r="S734"/>
    </row>
    <row r="735" spans="1:19" x14ac:dyDescent="0.3">
      <c r="A735" s="70"/>
      <c r="C735"/>
      <c r="E735"/>
      <c r="G735"/>
      <c r="I735"/>
      <c r="K735"/>
      <c r="M735"/>
      <c r="O735"/>
      <c r="Q735"/>
      <c r="S735"/>
    </row>
    <row r="736" spans="1:19" x14ac:dyDescent="0.3">
      <c r="A736" s="70"/>
      <c r="C736"/>
      <c r="E736"/>
      <c r="G736"/>
      <c r="I736"/>
      <c r="K736"/>
      <c r="M736"/>
      <c r="O736"/>
      <c r="Q736"/>
      <c r="S736"/>
    </row>
    <row r="737" spans="1:19" x14ac:dyDescent="0.3">
      <c r="A737" s="70"/>
      <c r="C737"/>
      <c r="E737"/>
      <c r="G737"/>
      <c r="I737"/>
      <c r="K737"/>
      <c r="M737"/>
      <c r="O737"/>
      <c r="Q737"/>
      <c r="S737"/>
    </row>
    <row r="738" spans="1:19" x14ac:dyDescent="0.3">
      <c r="A738" s="70"/>
      <c r="C738"/>
      <c r="E738"/>
      <c r="G738"/>
      <c r="I738"/>
      <c r="K738"/>
      <c r="M738"/>
      <c r="O738"/>
      <c r="Q738"/>
      <c r="S738"/>
    </row>
    <row r="739" spans="1:19" x14ac:dyDescent="0.3">
      <c r="A739" s="70"/>
      <c r="C739"/>
      <c r="E739"/>
      <c r="G739"/>
      <c r="I739"/>
      <c r="K739"/>
      <c r="M739"/>
      <c r="O739"/>
      <c r="Q739"/>
      <c r="S739"/>
    </row>
    <row r="740" spans="1:19" x14ac:dyDescent="0.3">
      <c r="A740" s="70"/>
      <c r="C740"/>
      <c r="E740"/>
      <c r="G740"/>
      <c r="I740"/>
      <c r="K740"/>
      <c r="M740"/>
      <c r="O740"/>
      <c r="Q740"/>
      <c r="S740"/>
    </row>
    <row r="741" spans="1:19" x14ac:dyDescent="0.3">
      <c r="A741" s="70"/>
      <c r="C741"/>
      <c r="E741"/>
      <c r="G741"/>
      <c r="I741"/>
      <c r="K741"/>
      <c r="M741"/>
      <c r="O741"/>
      <c r="Q741"/>
      <c r="S741"/>
    </row>
    <row r="742" spans="1:19" x14ac:dyDescent="0.3">
      <c r="A742" s="70"/>
      <c r="C742"/>
      <c r="E742"/>
      <c r="G742"/>
      <c r="I742"/>
      <c r="K742"/>
      <c r="M742"/>
      <c r="O742"/>
      <c r="Q742"/>
      <c r="S742"/>
    </row>
    <row r="743" spans="1:19" x14ac:dyDescent="0.3">
      <c r="A743" s="70"/>
      <c r="C743"/>
      <c r="E743"/>
      <c r="G743"/>
      <c r="I743"/>
      <c r="K743"/>
      <c r="M743"/>
      <c r="O743"/>
      <c r="Q743"/>
      <c r="S743"/>
    </row>
    <row r="744" spans="1:19" x14ac:dyDescent="0.3">
      <c r="A744" s="70"/>
      <c r="C744"/>
      <c r="E744"/>
      <c r="G744"/>
      <c r="I744"/>
      <c r="K744"/>
      <c r="M744"/>
      <c r="O744"/>
      <c r="Q744"/>
      <c r="S744"/>
    </row>
    <row r="745" spans="1:19" x14ac:dyDescent="0.3">
      <c r="A745" s="70"/>
      <c r="C745"/>
      <c r="E745"/>
      <c r="G745"/>
      <c r="I745"/>
      <c r="K745"/>
      <c r="M745"/>
      <c r="O745"/>
      <c r="Q745"/>
      <c r="S745"/>
    </row>
    <row r="746" spans="1:19" x14ac:dyDescent="0.3">
      <c r="A746" s="70"/>
      <c r="C746"/>
      <c r="E746"/>
      <c r="G746"/>
      <c r="I746"/>
      <c r="K746"/>
      <c r="M746"/>
      <c r="O746"/>
      <c r="Q746"/>
      <c r="S746"/>
    </row>
    <row r="747" spans="1:19" x14ac:dyDescent="0.3">
      <c r="A747" s="70"/>
      <c r="C747"/>
      <c r="E747"/>
      <c r="G747"/>
      <c r="I747"/>
      <c r="K747"/>
      <c r="M747"/>
      <c r="O747"/>
      <c r="Q747"/>
      <c r="S747"/>
    </row>
    <row r="748" spans="1:19" x14ac:dyDescent="0.3">
      <c r="A748" s="70"/>
      <c r="C748"/>
      <c r="E748"/>
      <c r="G748"/>
      <c r="I748"/>
      <c r="K748"/>
      <c r="M748"/>
      <c r="O748"/>
      <c r="Q748"/>
      <c r="S748"/>
    </row>
    <row r="749" spans="1:19" x14ac:dyDescent="0.3">
      <c r="A749" s="70"/>
      <c r="C749"/>
      <c r="E749"/>
      <c r="G749"/>
      <c r="I749"/>
      <c r="K749"/>
      <c r="M749"/>
      <c r="O749"/>
      <c r="Q749"/>
      <c r="S749"/>
    </row>
    <row r="750" spans="1:19" x14ac:dyDescent="0.3">
      <c r="A750" s="70"/>
      <c r="C750"/>
      <c r="E750"/>
      <c r="G750"/>
      <c r="I750"/>
      <c r="K750"/>
      <c r="M750"/>
      <c r="O750"/>
      <c r="Q750"/>
      <c r="S750"/>
    </row>
    <row r="751" spans="1:19" x14ac:dyDescent="0.3">
      <c r="A751" s="70"/>
      <c r="C751"/>
      <c r="E751"/>
      <c r="G751"/>
      <c r="I751"/>
      <c r="K751"/>
      <c r="M751"/>
      <c r="O751"/>
      <c r="Q751"/>
      <c r="S751"/>
    </row>
    <row r="752" spans="1:19" x14ac:dyDescent="0.3">
      <c r="A752" s="70"/>
      <c r="C752"/>
      <c r="E752"/>
      <c r="G752"/>
      <c r="I752"/>
      <c r="K752"/>
      <c r="M752"/>
      <c r="O752"/>
      <c r="Q752"/>
      <c r="S752"/>
    </row>
    <row r="753" spans="1:19" x14ac:dyDescent="0.3">
      <c r="A753" s="70"/>
      <c r="C753"/>
      <c r="E753"/>
      <c r="G753"/>
      <c r="I753"/>
      <c r="K753"/>
      <c r="M753"/>
      <c r="O753"/>
      <c r="Q753"/>
      <c r="S753"/>
    </row>
    <row r="754" spans="1:19" x14ac:dyDescent="0.3">
      <c r="A754" s="70"/>
      <c r="C754"/>
      <c r="E754"/>
      <c r="G754"/>
      <c r="I754"/>
      <c r="K754"/>
      <c r="M754"/>
      <c r="O754"/>
      <c r="Q754"/>
      <c r="S754"/>
    </row>
    <row r="755" spans="1:19" x14ac:dyDescent="0.3">
      <c r="A755" s="70"/>
      <c r="C755"/>
      <c r="E755"/>
      <c r="G755"/>
      <c r="I755"/>
      <c r="K755"/>
      <c r="M755"/>
      <c r="O755"/>
      <c r="Q755"/>
      <c r="S755"/>
    </row>
    <row r="756" spans="1:19" x14ac:dyDescent="0.3">
      <c r="A756" s="70"/>
      <c r="C756"/>
      <c r="E756"/>
      <c r="G756"/>
      <c r="I756"/>
      <c r="K756"/>
      <c r="M756"/>
      <c r="O756"/>
      <c r="Q756"/>
      <c r="S756"/>
    </row>
    <row r="757" spans="1:19" x14ac:dyDescent="0.3">
      <c r="A757" s="70"/>
      <c r="C757"/>
      <c r="E757"/>
      <c r="G757"/>
      <c r="I757"/>
      <c r="K757"/>
      <c r="M757"/>
      <c r="O757"/>
      <c r="Q757"/>
      <c r="S757"/>
    </row>
    <row r="758" spans="1:19" x14ac:dyDescent="0.3">
      <c r="A758" s="70"/>
      <c r="C758"/>
      <c r="E758"/>
      <c r="G758"/>
      <c r="I758"/>
      <c r="K758"/>
      <c r="M758"/>
      <c r="O758"/>
      <c r="Q758"/>
      <c r="S758"/>
    </row>
    <row r="759" spans="1:19" x14ac:dyDescent="0.3">
      <c r="A759" s="70"/>
      <c r="C759"/>
      <c r="E759"/>
      <c r="G759"/>
      <c r="I759"/>
      <c r="K759"/>
      <c r="M759"/>
      <c r="O759"/>
      <c r="Q759"/>
      <c r="S759"/>
    </row>
    <row r="760" spans="1:19" x14ac:dyDescent="0.3">
      <c r="A760" s="70"/>
      <c r="C760"/>
      <c r="E760"/>
      <c r="G760"/>
      <c r="I760"/>
      <c r="K760"/>
      <c r="M760"/>
      <c r="O760"/>
      <c r="Q760"/>
      <c r="S760"/>
    </row>
    <row r="761" spans="1:19" x14ac:dyDescent="0.3">
      <c r="A761" s="70"/>
      <c r="C761"/>
      <c r="E761"/>
      <c r="G761"/>
      <c r="I761"/>
      <c r="K761"/>
      <c r="M761"/>
      <c r="O761"/>
      <c r="Q761"/>
      <c r="S761"/>
    </row>
    <row r="762" spans="1:19" x14ac:dyDescent="0.3">
      <c r="A762" s="70"/>
      <c r="C762"/>
      <c r="E762"/>
      <c r="G762"/>
      <c r="I762"/>
      <c r="K762"/>
      <c r="M762"/>
      <c r="O762"/>
      <c r="Q762"/>
      <c r="S762"/>
    </row>
    <row r="763" spans="1:19" x14ac:dyDescent="0.3">
      <c r="A763" s="70"/>
      <c r="C763"/>
      <c r="E763"/>
      <c r="G763"/>
      <c r="I763"/>
      <c r="K763"/>
      <c r="M763"/>
      <c r="O763"/>
      <c r="Q763"/>
      <c r="S763"/>
    </row>
    <row r="764" spans="1:19" x14ac:dyDescent="0.3">
      <c r="A764" s="70"/>
      <c r="C764"/>
      <c r="E764"/>
      <c r="G764"/>
      <c r="I764"/>
      <c r="K764"/>
      <c r="M764"/>
      <c r="O764"/>
      <c r="Q764"/>
      <c r="S764"/>
    </row>
    <row r="765" spans="1:19" x14ac:dyDescent="0.3">
      <c r="A765" s="70"/>
      <c r="C765"/>
      <c r="E765"/>
      <c r="G765"/>
      <c r="I765"/>
      <c r="K765"/>
      <c r="M765"/>
      <c r="O765"/>
      <c r="Q765"/>
      <c r="S765"/>
    </row>
    <row r="766" spans="1:19" x14ac:dyDescent="0.3">
      <c r="A766" s="70"/>
      <c r="C766"/>
      <c r="E766"/>
      <c r="G766"/>
      <c r="I766"/>
      <c r="K766"/>
      <c r="M766"/>
      <c r="O766"/>
      <c r="Q766"/>
      <c r="S766"/>
    </row>
    <row r="767" spans="1:19" x14ac:dyDescent="0.3">
      <c r="A767" s="70"/>
      <c r="C767"/>
      <c r="E767"/>
      <c r="G767"/>
      <c r="I767"/>
      <c r="K767"/>
      <c r="M767"/>
      <c r="O767"/>
      <c r="Q767"/>
      <c r="S767"/>
    </row>
    <row r="768" spans="1:19" x14ac:dyDescent="0.3">
      <c r="A768" s="70"/>
      <c r="C768"/>
      <c r="E768"/>
      <c r="G768"/>
      <c r="I768"/>
      <c r="K768"/>
      <c r="M768"/>
      <c r="O768"/>
      <c r="Q768"/>
      <c r="S768"/>
    </row>
    <row r="769" spans="1:19" x14ac:dyDescent="0.3">
      <c r="A769" s="70"/>
      <c r="C769"/>
      <c r="E769"/>
      <c r="G769"/>
      <c r="I769"/>
      <c r="K769"/>
      <c r="M769"/>
      <c r="O769"/>
      <c r="Q769"/>
      <c r="S769"/>
    </row>
    <row r="770" spans="1:19" x14ac:dyDescent="0.3">
      <c r="A770" s="70"/>
      <c r="C770"/>
      <c r="E770"/>
      <c r="G770"/>
      <c r="I770"/>
      <c r="K770"/>
      <c r="M770"/>
      <c r="O770"/>
      <c r="Q770"/>
      <c r="S770"/>
    </row>
    <row r="771" spans="1:19" x14ac:dyDescent="0.3">
      <c r="A771" s="70"/>
      <c r="C771"/>
      <c r="E771"/>
      <c r="G771"/>
      <c r="I771"/>
      <c r="K771"/>
      <c r="M771"/>
      <c r="O771"/>
      <c r="Q771"/>
      <c r="S771"/>
    </row>
    <row r="772" spans="1:19" x14ac:dyDescent="0.3">
      <c r="A772" s="70"/>
      <c r="C772"/>
      <c r="E772"/>
      <c r="G772"/>
      <c r="I772"/>
      <c r="K772"/>
      <c r="M772"/>
      <c r="O772"/>
      <c r="Q772"/>
      <c r="S772"/>
    </row>
    <row r="773" spans="1:19" x14ac:dyDescent="0.3">
      <c r="A773" s="70"/>
      <c r="C773"/>
      <c r="E773"/>
      <c r="G773"/>
      <c r="I773"/>
      <c r="K773"/>
      <c r="M773"/>
      <c r="O773"/>
      <c r="Q773"/>
      <c r="S773"/>
    </row>
    <row r="774" spans="1:19" x14ac:dyDescent="0.3">
      <c r="A774" s="70"/>
      <c r="C774"/>
      <c r="E774"/>
      <c r="G774"/>
      <c r="I774"/>
      <c r="K774"/>
      <c r="M774"/>
      <c r="O774"/>
      <c r="Q774"/>
      <c r="S774"/>
    </row>
    <row r="775" spans="1:19" x14ac:dyDescent="0.3">
      <c r="A775" s="70"/>
      <c r="C775"/>
      <c r="E775"/>
      <c r="G775"/>
      <c r="I775"/>
      <c r="K775"/>
      <c r="M775"/>
      <c r="O775"/>
      <c r="Q775"/>
      <c r="S775"/>
    </row>
    <row r="776" spans="1:19" x14ac:dyDescent="0.3">
      <c r="A776" s="70"/>
      <c r="C776"/>
      <c r="E776"/>
      <c r="G776"/>
      <c r="I776"/>
      <c r="K776"/>
      <c r="M776"/>
      <c r="O776"/>
      <c r="Q776"/>
      <c r="S776"/>
    </row>
    <row r="777" spans="1:19" x14ac:dyDescent="0.3">
      <c r="A777" s="70"/>
      <c r="C777"/>
      <c r="E777"/>
      <c r="G777"/>
      <c r="I777"/>
      <c r="K777"/>
      <c r="M777"/>
      <c r="O777"/>
      <c r="Q777"/>
      <c r="S777"/>
    </row>
    <row r="778" spans="1:19" x14ac:dyDescent="0.3">
      <c r="A778" s="70"/>
      <c r="C778"/>
      <c r="E778"/>
      <c r="G778"/>
      <c r="I778"/>
      <c r="K778"/>
      <c r="M778"/>
      <c r="O778"/>
      <c r="Q778"/>
      <c r="S7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3C26-3F0F-44DA-ACA2-121DA30A4B1C}">
  <dimension ref="A3:AJ106"/>
  <sheetViews>
    <sheetView topLeftCell="A79" zoomScale="115" zoomScaleNormal="115" workbookViewId="0">
      <selection activeCell="G63" sqref="G63"/>
    </sheetView>
  </sheetViews>
  <sheetFormatPr defaultRowHeight="18" x14ac:dyDescent="0.3"/>
  <cols>
    <col min="1" max="1" width="18.33203125" style="214" customWidth="1"/>
    <col min="2" max="2" width="16.5546875" style="214" customWidth="1"/>
    <col min="3" max="3" width="20.109375" style="214" customWidth="1"/>
    <col min="4" max="5" width="36.44140625" style="214" customWidth="1"/>
    <col min="6" max="6" width="27.33203125" style="214" customWidth="1"/>
    <col min="7" max="7" width="13.6640625" style="214" customWidth="1"/>
    <col min="8" max="8" width="18.6640625" style="214" customWidth="1"/>
    <col min="9" max="9" width="27" style="214" customWidth="1"/>
    <col min="10" max="10" width="27.109375" style="214" bestFit="1" customWidth="1"/>
    <col min="11" max="11" width="16.109375" style="214" customWidth="1"/>
    <col min="12" max="12" width="19.88671875" style="214" customWidth="1"/>
    <col min="13" max="13" width="15.21875" style="214" bestFit="1" customWidth="1"/>
    <col min="14" max="15" width="30.5546875" style="214" customWidth="1"/>
    <col min="16" max="17" width="11.77734375" style="214" customWidth="1"/>
    <col min="18" max="25" width="8.88671875" style="214"/>
    <col min="26" max="26" width="13.5546875" style="214" bestFit="1" customWidth="1"/>
    <col min="27" max="29" width="8.88671875" style="214"/>
    <col min="30" max="30" width="25.5546875" style="214" customWidth="1"/>
    <col min="31" max="32" width="8.88671875" style="214"/>
    <col min="33" max="33" width="16.33203125" style="214" customWidth="1"/>
    <col min="34" max="16384" width="8.88671875" style="214"/>
  </cols>
  <sheetData>
    <row r="3" spans="4:35" x14ac:dyDescent="0.3">
      <c r="F3" s="215" t="s">
        <v>849</v>
      </c>
      <c r="G3" s="214" t="s">
        <v>873</v>
      </c>
      <c r="H3" s="215"/>
      <c r="I3" s="215"/>
      <c r="J3" s="215"/>
      <c r="K3" s="215"/>
      <c r="L3" s="215"/>
      <c r="M3" s="215"/>
      <c r="N3" s="215"/>
      <c r="O3" s="215"/>
      <c r="P3" s="215"/>
      <c r="Q3" s="215"/>
      <c r="R3" s="215"/>
    </row>
    <row r="4" spans="4:35" ht="20.399999999999999" x14ac:dyDescent="0.3">
      <c r="D4" s="214">
        <v>1</v>
      </c>
      <c r="E4" s="214">
        <v>1</v>
      </c>
      <c r="F4" s="216">
        <v>12</v>
      </c>
      <c r="G4" s="214" t="s">
        <v>865</v>
      </c>
      <c r="H4" s="216">
        <v>12</v>
      </c>
      <c r="I4" s="214" t="s">
        <v>877</v>
      </c>
      <c r="Z4" s="215" t="s">
        <v>849</v>
      </c>
      <c r="AE4" s="214" t="s">
        <v>902</v>
      </c>
      <c r="AH4" s="214" t="s">
        <v>898</v>
      </c>
    </row>
    <row r="5" spans="4:35" ht="20.399999999999999" x14ac:dyDescent="0.3">
      <c r="D5" s="214">
        <v>2</v>
      </c>
      <c r="E5" s="214">
        <v>2</v>
      </c>
      <c r="F5" s="216">
        <v>14</v>
      </c>
      <c r="G5" s="214" t="s">
        <v>859</v>
      </c>
      <c r="H5" s="216">
        <v>14</v>
      </c>
      <c r="Y5" s="214">
        <v>1</v>
      </c>
      <c r="Z5" s="216">
        <v>12</v>
      </c>
      <c r="AA5" s="214" t="s">
        <v>898</v>
      </c>
      <c r="AB5" s="215">
        <f>SUM(Z5:Z24)/20</f>
        <v>57.95</v>
      </c>
      <c r="AD5" s="214">
        <f>$AB$5-Z5</f>
        <v>45.95</v>
      </c>
      <c r="AE5" s="214">
        <f>AD5^2</f>
        <v>2111.4025000000001</v>
      </c>
      <c r="AF5" s="214">
        <f>(Z5-$AB$5)^2</f>
        <v>2111.4025000000001</v>
      </c>
      <c r="AG5" s="214">
        <f>AH5-AF26</f>
        <v>30.696605715984663</v>
      </c>
      <c r="AH5" s="214">
        <v>57.95</v>
      </c>
      <c r="AI5" s="214">
        <f>SUM(AB5+AF26)</f>
        <v>85.203394284015346</v>
      </c>
    </row>
    <row r="6" spans="4:35" ht="20.399999999999999" x14ac:dyDescent="0.3">
      <c r="D6" s="214">
        <v>3</v>
      </c>
      <c r="E6" s="214">
        <v>3</v>
      </c>
      <c r="F6" s="216">
        <v>19</v>
      </c>
      <c r="G6" s="214" t="s">
        <v>868</v>
      </c>
      <c r="H6" s="216">
        <v>19</v>
      </c>
      <c r="Y6" s="214">
        <v>2</v>
      </c>
      <c r="Z6" s="216">
        <v>14</v>
      </c>
      <c r="AA6" s="214" t="s">
        <v>898</v>
      </c>
      <c r="AB6" s="214">
        <f>AVERAGE(Z5:Z24)</f>
        <v>57.95</v>
      </c>
      <c r="AD6" s="214">
        <f t="shared" ref="AD6:AD24" si="0">$AB$5-Z6</f>
        <v>43.95</v>
      </c>
      <c r="AE6" s="214">
        <f t="shared" ref="AE6:AE24" si="1">AD6^2</f>
        <v>1931.6025000000002</v>
      </c>
      <c r="AF6" s="214">
        <f t="shared" ref="AF6:AF24" si="2">(Z6-$AB$5)^2</f>
        <v>1931.6025000000002</v>
      </c>
    </row>
    <row r="7" spans="4:35" ht="20.399999999999999" x14ac:dyDescent="0.3">
      <c r="D7" s="214">
        <v>4</v>
      </c>
      <c r="E7" s="214">
        <v>4</v>
      </c>
      <c r="F7" s="216">
        <v>25</v>
      </c>
      <c r="G7" s="214" t="s">
        <v>858</v>
      </c>
      <c r="H7" s="216">
        <v>25</v>
      </c>
      <c r="M7" s="235" t="s">
        <v>851</v>
      </c>
      <c r="N7" s="235"/>
      <c r="O7" s="235"/>
      <c r="Y7" s="214">
        <v>3</v>
      </c>
      <c r="Z7" s="216">
        <v>19</v>
      </c>
      <c r="AA7" s="214" t="s">
        <v>899</v>
      </c>
      <c r="AB7" s="214">
        <v>64</v>
      </c>
      <c r="AD7" s="214">
        <f t="shared" si="0"/>
        <v>38.950000000000003</v>
      </c>
      <c r="AE7" s="214">
        <f t="shared" si="1"/>
        <v>1517.1025000000002</v>
      </c>
      <c r="AF7" s="214">
        <f t="shared" si="2"/>
        <v>1517.1025000000002</v>
      </c>
    </row>
    <row r="8" spans="4:35" ht="20.399999999999999" x14ac:dyDescent="0.3">
      <c r="D8" s="214">
        <v>5</v>
      </c>
      <c r="E8" s="214">
        <v>5</v>
      </c>
      <c r="F8" s="216">
        <v>30</v>
      </c>
      <c r="G8" s="214" t="s">
        <v>857</v>
      </c>
      <c r="H8" s="216">
        <v>30</v>
      </c>
      <c r="M8" s="214" t="s">
        <v>98</v>
      </c>
      <c r="N8" s="214">
        <f>SUM(F4:F23)</f>
        <v>1159</v>
      </c>
      <c r="O8" s="214" t="s">
        <v>874</v>
      </c>
      <c r="Y8" s="214">
        <v>4</v>
      </c>
      <c r="Z8" s="216">
        <v>25</v>
      </c>
      <c r="AB8" s="214">
        <f>MEDIAN(Z5:Z24)</f>
        <v>64</v>
      </c>
      <c r="AD8" s="214">
        <f t="shared" si="0"/>
        <v>32.950000000000003</v>
      </c>
      <c r="AE8" s="214">
        <f t="shared" si="1"/>
        <v>1085.7025000000001</v>
      </c>
      <c r="AF8" s="214">
        <f t="shared" si="2"/>
        <v>1085.7025000000001</v>
      </c>
    </row>
    <row r="9" spans="4:35" ht="20.399999999999999" x14ac:dyDescent="0.3">
      <c r="D9" s="214">
        <v>6</v>
      </c>
      <c r="E9" s="214">
        <v>6</v>
      </c>
      <c r="F9" s="216">
        <v>39</v>
      </c>
      <c r="G9" s="214" t="s">
        <v>871</v>
      </c>
      <c r="H9" s="216">
        <v>39</v>
      </c>
      <c r="J9" s="214" t="s">
        <v>39</v>
      </c>
      <c r="M9" s="214" t="s">
        <v>850</v>
      </c>
      <c r="N9" s="214">
        <v>20</v>
      </c>
      <c r="O9" s="214" t="s">
        <v>321</v>
      </c>
      <c r="Y9" s="214">
        <v>5</v>
      </c>
      <c r="Z9" s="216">
        <v>30</v>
      </c>
      <c r="AA9" s="214" t="s">
        <v>900</v>
      </c>
      <c r="AB9" s="214">
        <v>75</v>
      </c>
      <c r="AD9" s="214">
        <f t="shared" si="0"/>
        <v>27.950000000000003</v>
      </c>
      <c r="AE9" s="214">
        <f t="shared" si="1"/>
        <v>781.20250000000021</v>
      </c>
      <c r="AF9" s="214">
        <f t="shared" si="2"/>
        <v>781.20250000000021</v>
      </c>
    </row>
    <row r="10" spans="4:35" ht="19.2" customHeight="1" x14ac:dyDescent="0.3">
      <c r="D10" s="214">
        <v>7</v>
      </c>
      <c r="E10" s="214">
        <v>7</v>
      </c>
      <c r="F10" s="216">
        <v>45</v>
      </c>
      <c r="G10" s="214" t="s">
        <v>862</v>
      </c>
      <c r="H10" s="216">
        <v>45</v>
      </c>
      <c r="M10" s="214" t="s">
        <v>3</v>
      </c>
      <c r="N10" s="214">
        <f>N8/N9</f>
        <v>57.95</v>
      </c>
      <c r="P10" s="236" t="s">
        <v>875</v>
      </c>
      <c r="Q10" s="236"/>
      <c r="Y10" s="214">
        <v>6</v>
      </c>
      <c r="Z10" s="216">
        <v>39</v>
      </c>
      <c r="AD10" s="214">
        <f t="shared" si="0"/>
        <v>18.950000000000003</v>
      </c>
      <c r="AE10" s="214">
        <f t="shared" si="1"/>
        <v>359.10250000000013</v>
      </c>
      <c r="AF10" s="214">
        <f t="shared" si="2"/>
        <v>359.10250000000013</v>
      </c>
    </row>
    <row r="11" spans="4:35" ht="18.600000000000001" customHeight="1" x14ac:dyDescent="0.3">
      <c r="D11" s="214">
        <v>8</v>
      </c>
      <c r="E11" s="214">
        <v>8</v>
      </c>
      <c r="F11" s="216">
        <v>47</v>
      </c>
      <c r="G11" s="214" t="s">
        <v>866</v>
      </c>
      <c r="H11" s="216">
        <v>47</v>
      </c>
      <c r="P11" s="236" t="s">
        <v>876</v>
      </c>
      <c r="Q11" s="236"/>
      <c r="Y11" s="214">
        <v>7</v>
      </c>
      <c r="Z11" s="216">
        <v>45</v>
      </c>
      <c r="AA11" s="214" t="s">
        <v>901</v>
      </c>
      <c r="AB11" s="214">
        <f>GEOMEAN(Z5:Z24)</f>
        <v>49.364661499524942</v>
      </c>
      <c r="AD11" s="214">
        <f t="shared" si="0"/>
        <v>12.950000000000003</v>
      </c>
      <c r="AE11" s="214">
        <f t="shared" si="1"/>
        <v>167.70250000000007</v>
      </c>
      <c r="AF11" s="214">
        <f t="shared" si="2"/>
        <v>167.70250000000007</v>
      </c>
    </row>
    <row r="12" spans="4:35" ht="20.399999999999999" x14ac:dyDescent="0.3">
      <c r="D12" s="214">
        <v>9</v>
      </c>
      <c r="E12" s="214">
        <v>9</v>
      </c>
      <c r="F12" s="216">
        <v>50</v>
      </c>
      <c r="G12" s="214" t="s">
        <v>852</v>
      </c>
      <c r="H12" s="216">
        <v>50</v>
      </c>
      <c r="Y12" s="214">
        <v>8</v>
      </c>
      <c r="Z12" s="216">
        <v>47</v>
      </c>
      <c r="AD12" s="214">
        <f t="shared" si="0"/>
        <v>10.950000000000003</v>
      </c>
      <c r="AE12" s="214">
        <f t="shared" si="1"/>
        <v>119.90250000000006</v>
      </c>
      <c r="AF12" s="214">
        <f t="shared" si="2"/>
        <v>119.90250000000006</v>
      </c>
    </row>
    <row r="13" spans="4:35" ht="20.399999999999999" x14ac:dyDescent="0.3">
      <c r="D13" s="214">
        <v>10</v>
      </c>
      <c r="E13" s="214">
        <v>10</v>
      </c>
      <c r="F13" s="216">
        <v>63</v>
      </c>
      <c r="G13" s="214" t="s">
        <v>869</v>
      </c>
      <c r="H13" s="216">
        <v>63</v>
      </c>
      <c r="I13" s="236" t="s">
        <v>882</v>
      </c>
      <c r="Y13" s="214">
        <v>9</v>
      </c>
      <c r="Z13" s="216">
        <v>50</v>
      </c>
      <c r="AD13" s="214">
        <f t="shared" si="0"/>
        <v>7.9500000000000028</v>
      </c>
      <c r="AE13" s="214">
        <f t="shared" si="1"/>
        <v>63.202500000000043</v>
      </c>
      <c r="AF13" s="214">
        <f t="shared" si="2"/>
        <v>63.202500000000043</v>
      </c>
    </row>
    <row r="14" spans="4:35" ht="20.399999999999999" x14ac:dyDescent="0.3">
      <c r="D14" s="214">
        <v>11</v>
      </c>
      <c r="E14" s="214">
        <v>11</v>
      </c>
      <c r="F14" s="216">
        <v>65</v>
      </c>
      <c r="G14" s="214" t="s">
        <v>854</v>
      </c>
      <c r="H14" s="216">
        <v>65</v>
      </c>
      <c r="I14" s="236"/>
      <c r="J14" s="214" t="s">
        <v>880</v>
      </c>
      <c r="K14" s="214" t="s">
        <v>881</v>
      </c>
      <c r="Y14" s="214">
        <v>10</v>
      </c>
      <c r="Z14" s="216">
        <v>63</v>
      </c>
      <c r="AA14" s="214" t="s">
        <v>912</v>
      </c>
      <c r="AD14" s="214">
        <f t="shared" si="0"/>
        <v>-5.0499999999999972</v>
      </c>
      <c r="AE14" s="214">
        <f t="shared" si="1"/>
        <v>25.502499999999973</v>
      </c>
      <c r="AF14" s="214">
        <f t="shared" si="2"/>
        <v>25.502499999999973</v>
      </c>
    </row>
    <row r="15" spans="4:35" ht="20.399999999999999" x14ac:dyDescent="0.3">
      <c r="D15" s="214">
        <v>12</v>
      </c>
      <c r="E15" s="214">
        <v>12</v>
      </c>
      <c r="F15" s="216">
        <v>71</v>
      </c>
      <c r="G15" s="214" t="s">
        <v>872</v>
      </c>
      <c r="H15" s="216">
        <v>71</v>
      </c>
      <c r="Y15" s="214">
        <v>11</v>
      </c>
      <c r="Z15" s="216">
        <v>65</v>
      </c>
      <c r="AD15" s="214">
        <f t="shared" si="0"/>
        <v>-7.0499999999999972</v>
      </c>
      <c r="AE15" s="214">
        <f t="shared" si="1"/>
        <v>49.702499999999958</v>
      </c>
      <c r="AF15" s="214">
        <f t="shared" si="2"/>
        <v>49.702499999999958</v>
      </c>
    </row>
    <row r="16" spans="4:35" ht="20.399999999999999" x14ac:dyDescent="0.3">
      <c r="D16" s="214">
        <v>13</v>
      </c>
      <c r="E16" s="214">
        <v>13</v>
      </c>
      <c r="F16" s="216">
        <v>75</v>
      </c>
      <c r="G16" s="214" t="s">
        <v>860</v>
      </c>
      <c r="H16" s="216">
        <v>75</v>
      </c>
      <c r="I16" s="236" t="s">
        <v>879</v>
      </c>
      <c r="Y16" s="214">
        <v>12</v>
      </c>
      <c r="Z16" s="216">
        <v>71</v>
      </c>
      <c r="AD16" s="214">
        <f t="shared" si="0"/>
        <v>-13.049999999999997</v>
      </c>
      <c r="AE16" s="214">
        <f t="shared" si="1"/>
        <v>170.30249999999992</v>
      </c>
      <c r="AF16" s="214">
        <f t="shared" si="2"/>
        <v>170.30249999999992</v>
      </c>
    </row>
    <row r="17" spans="4:36" ht="20.399999999999999" x14ac:dyDescent="0.3">
      <c r="D17" s="214">
        <v>14</v>
      </c>
      <c r="E17" s="214">
        <v>14</v>
      </c>
      <c r="F17" s="216">
        <v>75</v>
      </c>
      <c r="G17" s="214" t="s">
        <v>864</v>
      </c>
      <c r="H17" s="216">
        <v>75</v>
      </c>
      <c r="I17" s="236"/>
      <c r="Y17" s="214">
        <v>13</v>
      </c>
      <c r="Z17" s="216">
        <v>75</v>
      </c>
      <c r="AD17" s="214">
        <f t="shared" si="0"/>
        <v>-17.049999999999997</v>
      </c>
      <c r="AE17" s="214">
        <f t="shared" si="1"/>
        <v>290.70249999999993</v>
      </c>
      <c r="AF17" s="214">
        <f t="shared" si="2"/>
        <v>290.70249999999993</v>
      </c>
    </row>
    <row r="18" spans="4:36" ht="20.399999999999999" x14ac:dyDescent="0.3">
      <c r="D18" s="214">
        <v>15</v>
      </c>
      <c r="E18" s="214">
        <v>15</v>
      </c>
      <c r="F18" s="216">
        <v>78</v>
      </c>
      <c r="G18" s="214" t="s">
        <v>870</v>
      </c>
      <c r="H18" s="216">
        <v>78</v>
      </c>
      <c r="Y18" s="214">
        <v>14</v>
      </c>
      <c r="Z18" s="216">
        <v>75</v>
      </c>
      <c r="AD18" s="214">
        <f t="shared" si="0"/>
        <v>-17.049999999999997</v>
      </c>
      <c r="AE18" s="214">
        <f t="shared" si="1"/>
        <v>290.70249999999993</v>
      </c>
      <c r="AF18" s="214">
        <f t="shared" si="2"/>
        <v>290.70249999999993</v>
      </c>
    </row>
    <row r="19" spans="4:36" ht="20.399999999999999" x14ac:dyDescent="0.3">
      <c r="D19" s="214">
        <v>16</v>
      </c>
      <c r="E19" s="214">
        <v>16</v>
      </c>
      <c r="F19" s="216">
        <v>80</v>
      </c>
      <c r="G19" s="214" t="s">
        <v>855</v>
      </c>
      <c r="H19" s="216">
        <v>80</v>
      </c>
      <c r="J19" s="214" t="s">
        <v>40</v>
      </c>
      <c r="Y19" s="214">
        <v>15</v>
      </c>
      <c r="Z19" s="216">
        <v>78</v>
      </c>
      <c r="AD19" s="214">
        <f t="shared" si="0"/>
        <v>-20.049999999999997</v>
      </c>
      <c r="AE19" s="214">
        <f t="shared" si="1"/>
        <v>402.00249999999988</v>
      </c>
      <c r="AF19" s="214">
        <f t="shared" si="2"/>
        <v>402.00249999999988</v>
      </c>
    </row>
    <row r="20" spans="4:36" ht="20.399999999999999" x14ac:dyDescent="0.3">
      <c r="D20" s="214">
        <v>17</v>
      </c>
      <c r="E20" s="214">
        <v>17</v>
      </c>
      <c r="F20" s="216">
        <v>82</v>
      </c>
      <c r="G20" s="214" t="s">
        <v>861</v>
      </c>
      <c r="H20" s="216">
        <v>82</v>
      </c>
      <c r="Y20" s="214">
        <v>16</v>
      </c>
      <c r="Z20" s="216">
        <v>80</v>
      </c>
      <c r="AD20" s="214">
        <f t="shared" si="0"/>
        <v>-22.049999999999997</v>
      </c>
      <c r="AE20" s="214">
        <f t="shared" si="1"/>
        <v>486.20249999999987</v>
      </c>
      <c r="AF20" s="214">
        <f t="shared" si="2"/>
        <v>486.20249999999987</v>
      </c>
    </row>
    <row r="21" spans="4:36" ht="20.399999999999999" x14ac:dyDescent="0.3">
      <c r="D21" s="214">
        <v>18</v>
      </c>
      <c r="E21" s="214">
        <v>18</v>
      </c>
      <c r="F21" s="216">
        <v>95</v>
      </c>
      <c r="G21" s="214" t="s">
        <v>856</v>
      </c>
      <c r="H21" s="216">
        <v>95</v>
      </c>
      <c r="Y21" s="214">
        <v>17</v>
      </c>
      <c r="Z21" s="216">
        <v>82</v>
      </c>
      <c r="AD21" s="214">
        <f t="shared" si="0"/>
        <v>-24.049999999999997</v>
      </c>
      <c r="AE21" s="214">
        <f t="shared" si="1"/>
        <v>578.40249999999992</v>
      </c>
      <c r="AF21" s="214">
        <f t="shared" si="2"/>
        <v>578.40249999999992</v>
      </c>
    </row>
    <row r="22" spans="4:36" ht="20.399999999999999" x14ac:dyDescent="0.3">
      <c r="D22" s="214">
        <v>19</v>
      </c>
      <c r="E22" s="214">
        <v>19</v>
      </c>
      <c r="F22" s="216">
        <v>96</v>
      </c>
      <c r="G22" s="214" t="s">
        <v>867</v>
      </c>
      <c r="H22" s="216">
        <v>96</v>
      </c>
      <c r="Y22" s="214">
        <v>18</v>
      </c>
      <c r="Z22" s="216">
        <v>95</v>
      </c>
      <c r="AD22" s="214">
        <f t="shared" si="0"/>
        <v>-37.049999999999997</v>
      </c>
      <c r="AE22" s="214">
        <f t="shared" si="1"/>
        <v>1372.7024999999999</v>
      </c>
      <c r="AF22" s="214">
        <f t="shared" si="2"/>
        <v>1372.7024999999999</v>
      </c>
    </row>
    <row r="23" spans="4:36" ht="20.399999999999999" x14ac:dyDescent="0.3">
      <c r="D23" s="214">
        <v>20</v>
      </c>
      <c r="E23" s="214">
        <v>20</v>
      </c>
      <c r="F23" s="216">
        <v>98</v>
      </c>
      <c r="G23" s="214" t="s">
        <v>863</v>
      </c>
      <c r="H23" s="216">
        <v>98</v>
      </c>
      <c r="I23" s="214" t="s">
        <v>878</v>
      </c>
      <c r="Y23" s="214">
        <v>19</v>
      </c>
      <c r="Z23" s="216">
        <v>96</v>
      </c>
      <c r="AD23" s="214">
        <f t="shared" si="0"/>
        <v>-38.049999999999997</v>
      </c>
      <c r="AE23" s="214">
        <f t="shared" si="1"/>
        <v>1447.8024999999998</v>
      </c>
      <c r="AF23" s="214">
        <f t="shared" si="2"/>
        <v>1447.8024999999998</v>
      </c>
    </row>
    <row r="24" spans="4:36" x14ac:dyDescent="0.3">
      <c r="F24" s="214" t="s">
        <v>853</v>
      </c>
      <c r="H24" s="216"/>
      <c r="K24" s="214" t="s">
        <v>884</v>
      </c>
      <c r="Y24" s="363">
        <v>20</v>
      </c>
      <c r="Z24" s="363">
        <v>98</v>
      </c>
      <c r="AD24" s="214">
        <f t="shared" si="0"/>
        <v>-40.049999999999997</v>
      </c>
      <c r="AE24" s="214">
        <f t="shared" si="1"/>
        <v>1604.0024999999998</v>
      </c>
      <c r="AF24" s="214">
        <f t="shared" si="2"/>
        <v>1604.0024999999998</v>
      </c>
    </row>
    <row r="25" spans="4:36" x14ac:dyDescent="0.3">
      <c r="K25" s="214" t="s">
        <v>177</v>
      </c>
      <c r="L25" s="214">
        <v>4</v>
      </c>
      <c r="M25" s="214">
        <f>SQRT(L25*L26)</f>
        <v>6</v>
      </c>
      <c r="Z25" s="214" t="s">
        <v>853</v>
      </c>
      <c r="AD25" s="214" t="s">
        <v>249</v>
      </c>
      <c r="AE25" s="364">
        <f>SUM(AE5:AE24)/20</f>
        <v>742.74749999999995</v>
      </c>
      <c r="AF25" s="214">
        <f>SUM(AF5:AF24)/20</f>
        <v>742.74749999999995</v>
      </c>
    </row>
    <row r="26" spans="4:36" x14ac:dyDescent="0.3">
      <c r="K26" s="214" t="s">
        <v>177</v>
      </c>
      <c r="L26" s="214">
        <v>9</v>
      </c>
      <c r="AD26" s="214" t="s">
        <v>250</v>
      </c>
      <c r="AE26" s="365">
        <f>SQRT(AE25)</f>
        <v>27.253394284015339</v>
      </c>
      <c r="AF26" s="365">
        <f>SQRT(AF25)</f>
        <v>27.253394284015339</v>
      </c>
      <c r="AG26" s="214">
        <v>10</v>
      </c>
      <c r="AH26" s="214">
        <v>3</v>
      </c>
      <c r="AI26" s="214">
        <v>45</v>
      </c>
    </row>
    <row r="27" spans="4:36" x14ac:dyDescent="0.3">
      <c r="AC27" s="214" t="s">
        <v>903</v>
      </c>
      <c r="AD27" s="214">
        <f>MAX(Z5:Z24)</f>
        <v>98</v>
      </c>
    </row>
    <row r="28" spans="4:36" x14ac:dyDescent="0.3">
      <c r="AC28" s="214" t="s">
        <v>904</v>
      </c>
      <c r="AD28" s="214">
        <f>MIN(Z5:Z24)</f>
        <v>12</v>
      </c>
    </row>
    <row r="29" spans="4:36" x14ac:dyDescent="0.3">
      <c r="K29" s="214" t="s">
        <v>883</v>
      </c>
      <c r="L29" s="214">
        <v>4</v>
      </c>
      <c r="M29" s="214" t="s">
        <v>885</v>
      </c>
      <c r="AC29" s="214" t="s">
        <v>905</v>
      </c>
      <c r="AD29" s="214">
        <f>AD27-AD28</f>
        <v>86</v>
      </c>
    </row>
    <row r="30" spans="4:36" x14ac:dyDescent="0.3">
      <c r="L30" s="214">
        <v>9</v>
      </c>
      <c r="Z30" s="236" t="s">
        <v>913</v>
      </c>
      <c r="AA30" s="236"/>
      <c r="AB30" s="236"/>
      <c r="AC30" s="236"/>
      <c r="AD30" s="214">
        <f>AI32-AI30</f>
        <v>48</v>
      </c>
      <c r="AF30" s="214" t="s">
        <v>906</v>
      </c>
      <c r="AG30" s="214" t="s">
        <v>909</v>
      </c>
      <c r="AH30" s="214">
        <v>5</v>
      </c>
      <c r="AI30" s="214">
        <v>30</v>
      </c>
    </row>
    <row r="31" spans="4:36" x14ac:dyDescent="0.3">
      <c r="L31" s="214">
        <v>6</v>
      </c>
      <c r="AF31" s="214" t="s">
        <v>907</v>
      </c>
      <c r="AG31" s="214" t="s">
        <v>910</v>
      </c>
      <c r="AH31" s="214">
        <v>10</v>
      </c>
      <c r="AI31" s="214">
        <v>63</v>
      </c>
      <c r="AJ31" s="214" t="s">
        <v>912</v>
      </c>
    </row>
    <row r="32" spans="4:36" x14ac:dyDescent="0.3">
      <c r="AF32" s="214" t="s">
        <v>908</v>
      </c>
      <c r="AG32" s="214" t="s">
        <v>911</v>
      </c>
      <c r="AH32" s="214">
        <v>15</v>
      </c>
      <c r="AI32" s="214">
        <v>78</v>
      </c>
    </row>
    <row r="47" spans="6:11" ht="27.6" x14ac:dyDescent="0.3">
      <c r="F47" s="1" t="s">
        <v>17</v>
      </c>
      <c r="G47" s="1" t="s">
        <v>18</v>
      </c>
      <c r="H47" s="1" t="s">
        <v>6</v>
      </c>
      <c r="I47" s="214" t="s">
        <v>893</v>
      </c>
      <c r="J47" s="214" t="s">
        <v>894</v>
      </c>
      <c r="K47" s="214" t="s">
        <v>889</v>
      </c>
    </row>
    <row r="48" spans="6:11" x14ac:dyDescent="0.3">
      <c r="F48" s="1">
        <v>1</v>
      </c>
      <c r="G48" s="1">
        <v>42</v>
      </c>
      <c r="H48" s="1">
        <v>21</v>
      </c>
      <c r="I48" s="214">
        <f>G48-$G$59</f>
        <v>6.7999999999999972</v>
      </c>
      <c r="J48" s="214">
        <f>ABS(I48)</f>
        <v>6.7999999999999972</v>
      </c>
      <c r="K48" s="214">
        <f>I48^2</f>
        <v>46.239999999999959</v>
      </c>
    </row>
    <row r="49" spans="6:12" x14ac:dyDescent="0.3">
      <c r="F49" s="1">
        <v>2</v>
      </c>
      <c r="G49" s="1">
        <v>29</v>
      </c>
      <c r="H49" s="1">
        <v>26</v>
      </c>
      <c r="I49" s="214">
        <f t="shared" ref="I49:I57" si="3">G49-$G$59</f>
        <v>-6.2000000000000028</v>
      </c>
      <c r="J49" s="214">
        <f t="shared" ref="J49:J57" si="4">ABS(I49)</f>
        <v>6.2000000000000028</v>
      </c>
      <c r="K49" s="214">
        <f t="shared" ref="K49:K57" si="5">I49^2</f>
        <v>38.440000000000033</v>
      </c>
    </row>
    <row r="50" spans="6:12" x14ac:dyDescent="0.3">
      <c r="F50" s="1">
        <v>3</v>
      </c>
      <c r="G50" s="1">
        <v>21</v>
      </c>
      <c r="H50" s="1">
        <v>29</v>
      </c>
      <c r="I50" s="214">
        <f t="shared" si="3"/>
        <v>-14.200000000000003</v>
      </c>
      <c r="J50" s="214">
        <f t="shared" si="4"/>
        <v>14.200000000000003</v>
      </c>
      <c r="K50" s="214">
        <f t="shared" si="5"/>
        <v>201.64000000000007</v>
      </c>
    </row>
    <row r="51" spans="6:12" x14ac:dyDescent="0.3">
      <c r="F51" s="1">
        <v>4</v>
      </c>
      <c r="G51" s="1">
        <v>37</v>
      </c>
      <c r="H51" s="1">
        <v>33</v>
      </c>
      <c r="I51" s="214">
        <f t="shared" si="3"/>
        <v>1.7999999999999972</v>
      </c>
      <c r="J51" s="214">
        <f t="shared" si="4"/>
        <v>1.7999999999999972</v>
      </c>
      <c r="K51" s="214">
        <f t="shared" si="5"/>
        <v>3.2399999999999896</v>
      </c>
    </row>
    <row r="52" spans="6:12" x14ac:dyDescent="0.3">
      <c r="F52" s="1">
        <v>5</v>
      </c>
      <c r="G52" s="1">
        <v>40</v>
      </c>
      <c r="H52" s="1">
        <v>37</v>
      </c>
      <c r="I52" s="214">
        <f t="shared" si="3"/>
        <v>4.7999999999999972</v>
      </c>
      <c r="J52" s="214">
        <f t="shared" si="4"/>
        <v>4.7999999999999972</v>
      </c>
      <c r="K52" s="214">
        <f t="shared" si="5"/>
        <v>23.039999999999974</v>
      </c>
    </row>
    <row r="53" spans="6:12" x14ac:dyDescent="0.3">
      <c r="F53" s="1">
        <v>6</v>
      </c>
      <c r="G53" s="1">
        <v>33</v>
      </c>
      <c r="H53" s="1">
        <v>38</v>
      </c>
      <c r="I53" s="214">
        <f t="shared" si="3"/>
        <v>-2.2000000000000028</v>
      </c>
      <c r="J53" s="214">
        <f t="shared" si="4"/>
        <v>2.2000000000000028</v>
      </c>
      <c r="K53" s="214">
        <f t="shared" si="5"/>
        <v>4.8400000000000123</v>
      </c>
    </row>
    <row r="54" spans="6:12" x14ac:dyDescent="0.3">
      <c r="F54" s="1">
        <v>7</v>
      </c>
      <c r="G54" s="1">
        <v>38</v>
      </c>
      <c r="H54" s="1">
        <v>39</v>
      </c>
      <c r="I54" s="214">
        <f t="shared" si="3"/>
        <v>2.7999999999999972</v>
      </c>
      <c r="J54" s="214">
        <f t="shared" si="4"/>
        <v>2.7999999999999972</v>
      </c>
      <c r="K54" s="214">
        <f t="shared" si="5"/>
        <v>7.8399999999999839</v>
      </c>
    </row>
    <row r="55" spans="6:12" x14ac:dyDescent="0.3">
      <c r="F55" s="1">
        <v>8</v>
      </c>
      <c r="G55" s="1">
        <v>26</v>
      </c>
      <c r="H55" s="1">
        <v>40</v>
      </c>
      <c r="I55" s="214">
        <f t="shared" si="3"/>
        <v>-9.2000000000000028</v>
      </c>
      <c r="J55" s="214">
        <f t="shared" si="4"/>
        <v>9.2000000000000028</v>
      </c>
      <c r="K55" s="214">
        <f t="shared" si="5"/>
        <v>84.640000000000057</v>
      </c>
    </row>
    <row r="56" spans="6:12" x14ac:dyDescent="0.3">
      <c r="F56" s="1">
        <v>9</v>
      </c>
      <c r="G56" s="1">
        <v>39</v>
      </c>
      <c r="H56" s="1">
        <v>42</v>
      </c>
      <c r="I56" s="214">
        <f t="shared" si="3"/>
        <v>3.7999999999999972</v>
      </c>
      <c r="J56" s="214">
        <f t="shared" si="4"/>
        <v>3.7999999999999972</v>
      </c>
      <c r="K56" s="214">
        <f t="shared" si="5"/>
        <v>14.439999999999978</v>
      </c>
    </row>
    <row r="57" spans="6:12" x14ac:dyDescent="0.3">
      <c r="F57" s="1">
        <v>10</v>
      </c>
      <c r="G57" s="1">
        <v>47</v>
      </c>
      <c r="H57" s="1">
        <v>47</v>
      </c>
      <c r="I57" s="214">
        <f t="shared" si="3"/>
        <v>11.799999999999997</v>
      </c>
      <c r="J57" s="214">
        <f t="shared" si="4"/>
        <v>11.799999999999997</v>
      </c>
      <c r="K57" s="214">
        <f t="shared" si="5"/>
        <v>139.23999999999992</v>
      </c>
    </row>
    <row r="58" spans="6:12" x14ac:dyDescent="0.3">
      <c r="F58" s="214" t="s">
        <v>98</v>
      </c>
      <c r="G58" s="214">
        <f>SUM(G48:G57)</f>
        <v>352</v>
      </c>
      <c r="H58" s="214">
        <f>SUM(H48:H57)</f>
        <v>352</v>
      </c>
      <c r="I58" s="217">
        <f t="shared" ref="I58:K58" si="6">SUM(I48:I57)</f>
        <v>-2.8421709430404007E-14</v>
      </c>
      <c r="J58" s="217">
        <f t="shared" si="6"/>
        <v>63.599999999999994</v>
      </c>
      <c r="K58" s="217">
        <f t="shared" si="6"/>
        <v>563.6</v>
      </c>
    </row>
    <row r="59" spans="6:12" x14ac:dyDescent="0.3">
      <c r="F59" s="214" t="s">
        <v>3</v>
      </c>
      <c r="G59" s="215">
        <f>G58/10</f>
        <v>35.200000000000003</v>
      </c>
      <c r="H59" s="214">
        <f>AVERAGE(H48:H57)</f>
        <v>35.200000000000003</v>
      </c>
      <c r="I59" s="219" t="s">
        <v>895</v>
      </c>
      <c r="J59" s="215">
        <f>J58/10</f>
        <v>6.3599999999999994</v>
      </c>
      <c r="K59" s="215">
        <f>K58/9</f>
        <v>62.622222222222227</v>
      </c>
      <c r="L59" s="214" t="s">
        <v>134</v>
      </c>
    </row>
    <row r="60" spans="6:12" x14ac:dyDescent="0.3">
      <c r="F60" s="214" t="s">
        <v>5</v>
      </c>
      <c r="G60" s="215">
        <f>(H52+H53)/2</f>
        <v>37.5</v>
      </c>
      <c r="H60" s="214">
        <f>MEDIAN(G48:G57)</f>
        <v>37.5</v>
      </c>
      <c r="K60" s="215">
        <f>SQRT(K59)</f>
        <v>7.9134203870527582</v>
      </c>
      <c r="L60" s="214" t="s">
        <v>896</v>
      </c>
    </row>
    <row r="61" spans="6:12" x14ac:dyDescent="0.3">
      <c r="K61" s="214">
        <f>MAX(G48:G57)</f>
        <v>47</v>
      </c>
      <c r="L61" s="214" t="s">
        <v>897</v>
      </c>
    </row>
    <row r="62" spans="6:12" x14ac:dyDescent="0.3">
      <c r="K62" s="214">
        <f>MIN(G48:G57)</f>
        <v>21</v>
      </c>
      <c r="L62" s="214" t="s">
        <v>877</v>
      </c>
    </row>
    <row r="89" spans="1:6" ht="27.6" customHeight="1" x14ac:dyDescent="0.3">
      <c r="A89" s="1" t="s">
        <v>23</v>
      </c>
      <c r="B89" s="1" t="s">
        <v>24</v>
      </c>
      <c r="C89" s="1" t="s">
        <v>6</v>
      </c>
      <c r="D89" s="214" t="s">
        <v>888</v>
      </c>
      <c r="E89" s="214" t="s">
        <v>890</v>
      </c>
      <c r="F89" s="214" t="s">
        <v>889</v>
      </c>
    </row>
    <row r="90" spans="1:6" x14ac:dyDescent="0.3">
      <c r="A90" s="1">
        <v>1</v>
      </c>
      <c r="B90" s="1">
        <v>15.8</v>
      </c>
      <c r="C90" s="1">
        <v>7.3</v>
      </c>
      <c r="D90" s="214">
        <f>B90-$B$103</f>
        <v>-4.1083333333333343</v>
      </c>
      <c r="E90" s="214">
        <f>ABS(D90)</f>
        <v>4.1083333333333343</v>
      </c>
      <c r="F90" s="214">
        <f>D90^2</f>
        <v>16.878402777777787</v>
      </c>
    </row>
    <row r="91" spans="1:6" x14ac:dyDescent="0.3">
      <c r="A91" s="1">
        <v>2</v>
      </c>
      <c r="B91" s="1">
        <v>7.3</v>
      </c>
      <c r="C91" s="1">
        <v>10.199999999999999</v>
      </c>
      <c r="D91" s="214">
        <f t="shared" ref="D91:D101" si="7">B91-$B$103</f>
        <v>-12.608333333333334</v>
      </c>
      <c r="E91" s="214">
        <f t="shared" ref="E91:E101" si="8">ABS(D91)</f>
        <v>12.608333333333334</v>
      </c>
      <c r="F91" s="214">
        <f t="shared" ref="F91:F101" si="9">D91^2</f>
        <v>158.97006944444448</v>
      </c>
    </row>
    <row r="92" spans="1:6" x14ac:dyDescent="0.3">
      <c r="A92" s="1">
        <v>3</v>
      </c>
      <c r="B92" s="1">
        <v>28.4</v>
      </c>
      <c r="C92" s="1">
        <v>13.1</v>
      </c>
      <c r="D92" s="214">
        <f t="shared" si="7"/>
        <v>8.4916666666666636</v>
      </c>
      <c r="E92" s="214">
        <f t="shared" si="8"/>
        <v>8.4916666666666636</v>
      </c>
      <c r="F92" s="214">
        <f t="shared" si="9"/>
        <v>72.108402777777727</v>
      </c>
    </row>
    <row r="93" spans="1:6" x14ac:dyDescent="0.3">
      <c r="A93" s="1">
        <v>4</v>
      </c>
      <c r="B93" s="1">
        <v>18.2</v>
      </c>
      <c r="C93" s="1">
        <v>15</v>
      </c>
      <c r="D93" s="214">
        <f t="shared" si="7"/>
        <v>-1.7083333333333357</v>
      </c>
      <c r="E93" s="214">
        <f t="shared" si="8"/>
        <v>1.7083333333333357</v>
      </c>
      <c r="F93" s="214">
        <f t="shared" si="9"/>
        <v>2.9184027777777857</v>
      </c>
    </row>
    <row r="94" spans="1:6" x14ac:dyDescent="0.3">
      <c r="A94" s="1">
        <v>5</v>
      </c>
      <c r="B94" s="1">
        <v>15</v>
      </c>
      <c r="C94" s="1">
        <v>15.8</v>
      </c>
      <c r="D94" s="214">
        <f t="shared" si="7"/>
        <v>-4.908333333333335</v>
      </c>
      <c r="E94" s="214">
        <f t="shared" si="8"/>
        <v>4.908333333333335</v>
      </c>
      <c r="F94" s="214">
        <f t="shared" si="9"/>
        <v>24.091736111111128</v>
      </c>
    </row>
    <row r="95" spans="1:6" x14ac:dyDescent="0.3">
      <c r="A95" s="1">
        <v>6</v>
      </c>
      <c r="B95" s="1">
        <v>24.7</v>
      </c>
      <c r="C95" s="1">
        <v>16.899999999999999</v>
      </c>
      <c r="D95" s="214">
        <f t="shared" si="7"/>
        <v>4.7916666666666643</v>
      </c>
      <c r="E95" s="214">
        <f t="shared" si="8"/>
        <v>4.7916666666666643</v>
      </c>
      <c r="F95" s="214">
        <f t="shared" si="9"/>
        <v>22.960069444444422</v>
      </c>
    </row>
    <row r="96" spans="1:6" x14ac:dyDescent="0.3">
      <c r="A96" s="1">
        <v>7</v>
      </c>
      <c r="B96" s="1">
        <v>13.1</v>
      </c>
      <c r="C96" s="1">
        <v>18.2</v>
      </c>
      <c r="D96" s="214">
        <f t="shared" si="7"/>
        <v>-6.8083333333333353</v>
      </c>
      <c r="E96" s="214">
        <f t="shared" si="8"/>
        <v>6.8083333333333353</v>
      </c>
      <c r="F96" s="214">
        <f t="shared" si="9"/>
        <v>46.353402777777802</v>
      </c>
    </row>
    <row r="97" spans="1:8" x14ac:dyDescent="0.3">
      <c r="A97" s="1">
        <v>8</v>
      </c>
      <c r="B97" s="1">
        <v>10.199999999999999</v>
      </c>
      <c r="C97" s="1">
        <v>24.7</v>
      </c>
      <c r="D97" s="214">
        <f t="shared" si="7"/>
        <v>-9.7083333333333357</v>
      </c>
      <c r="E97" s="214">
        <f t="shared" si="8"/>
        <v>9.7083333333333357</v>
      </c>
      <c r="F97" s="214">
        <f t="shared" si="9"/>
        <v>94.251736111111157</v>
      </c>
    </row>
    <row r="98" spans="1:8" x14ac:dyDescent="0.3">
      <c r="A98" s="1">
        <v>9</v>
      </c>
      <c r="B98" s="1">
        <v>29.3</v>
      </c>
      <c r="C98" s="1">
        <v>25.3</v>
      </c>
      <c r="D98" s="214">
        <f t="shared" si="7"/>
        <v>9.3916666666666657</v>
      </c>
      <c r="E98" s="214">
        <f t="shared" si="8"/>
        <v>9.3916666666666657</v>
      </c>
      <c r="F98" s="214">
        <f t="shared" si="9"/>
        <v>88.203402777777754</v>
      </c>
    </row>
    <row r="99" spans="1:8" x14ac:dyDescent="0.3">
      <c r="A99" s="1">
        <v>10</v>
      </c>
      <c r="B99" s="1">
        <v>34.700000000000003</v>
      </c>
      <c r="C99" s="1">
        <v>28.4</v>
      </c>
      <c r="D99" s="214">
        <f t="shared" si="7"/>
        <v>14.791666666666668</v>
      </c>
      <c r="E99" s="214">
        <f t="shared" si="8"/>
        <v>14.791666666666668</v>
      </c>
      <c r="F99" s="214">
        <f t="shared" si="9"/>
        <v>218.7934027777778</v>
      </c>
    </row>
    <row r="100" spans="1:8" x14ac:dyDescent="0.3">
      <c r="A100" s="1">
        <v>11</v>
      </c>
      <c r="B100" s="1">
        <v>16.899999999999999</v>
      </c>
      <c r="C100" s="1">
        <v>29.3</v>
      </c>
      <c r="D100" s="214">
        <f t="shared" si="7"/>
        <v>-3.0083333333333364</v>
      </c>
      <c r="E100" s="214">
        <f t="shared" si="8"/>
        <v>3.0083333333333364</v>
      </c>
      <c r="F100" s="214">
        <f t="shared" si="9"/>
        <v>9.0500694444444623</v>
      </c>
    </row>
    <row r="101" spans="1:8" x14ac:dyDescent="0.3">
      <c r="A101" s="1">
        <v>12</v>
      </c>
      <c r="B101" s="1">
        <v>25.3</v>
      </c>
      <c r="C101" s="1">
        <v>34.700000000000003</v>
      </c>
      <c r="D101" s="214">
        <f t="shared" si="7"/>
        <v>5.3916666666666657</v>
      </c>
      <c r="E101" s="214">
        <f t="shared" si="8"/>
        <v>5.3916666666666657</v>
      </c>
      <c r="F101" s="214">
        <f t="shared" si="9"/>
        <v>29.070069444444435</v>
      </c>
    </row>
    <row r="102" spans="1:8" x14ac:dyDescent="0.3">
      <c r="A102" s="214" t="s">
        <v>98</v>
      </c>
      <c r="B102" s="217">
        <f>SUM(B90:B101)</f>
        <v>238.9</v>
      </c>
      <c r="C102" s="217">
        <f t="shared" ref="C102" si="10">SUM(C90:C101)</f>
        <v>238.90000000000003</v>
      </c>
      <c r="D102" s="217">
        <f>SUM(D90:D101)</f>
        <v>-2.1316282072803006E-14</v>
      </c>
      <c r="E102" s="214">
        <f>SUM(E90:E101)</f>
        <v>85.716666666666683</v>
      </c>
      <c r="F102" s="214">
        <f>SUM(F90:F101)</f>
        <v>783.6491666666667</v>
      </c>
    </row>
    <row r="103" spans="1:8" x14ac:dyDescent="0.3">
      <c r="A103" s="214" t="s">
        <v>887</v>
      </c>
      <c r="B103" s="214">
        <f>B102/12</f>
        <v>19.908333333333335</v>
      </c>
      <c r="C103" s="214">
        <f>AVERAGE(B90:B101)</f>
        <v>19.908333333333335</v>
      </c>
      <c r="D103" s="214" t="s">
        <v>35</v>
      </c>
      <c r="E103" s="214">
        <f>E102/12</f>
        <v>7.1430555555555566</v>
      </c>
      <c r="F103" s="214">
        <f>F102/12</f>
        <v>65.304097222222225</v>
      </c>
      <c r="G103" s="214" t="s">
        <v>134</v>
      </c>
      <c r="H103" s="218" t="s">
        <v>891</v>
      </c>
    </row>
    <row r="104" spans="1:8" x14ac:dyDescent="0.3">
      <c r="A104" s="214" t="s">
        <v>5</v>
      </c>
      <c r="B104" s="214">
        <f>SUM(C95:C96)/2</f>
        <v>17.549999999999997</v>
      </c>
      <c r="C104" s="214">
        <f>MEDIAN(B90:B101)</f>
        <v>17.549999999999997</v>
      </c>
      <c r="F104" s="214">
        <f>SQRT(F103)</f>
        <v>8.08109505093352</v>
      </c>
      <c r="G104" s="214" t="s">
        <v>4</v>
      </c>
      <c r="H104" s="218" t="s">
        <v>892</v>
      </c>
    </row>
    <row r="106" spans="1:8" x14ac:dyDescent="0.3">
      <c r="F106" s="214">
        <f>B103-F104</f>
        <v>11.827238282399815</v>
      </c>
      <c r="H106" s="214">
        <f>B103+F104</f>
        <v>27.989428384266855</v>
      </c>
    </row>
  </sheetData>
  <autoFilter ref="F3:L24" xr:uid="{91453C26-3F0F-44DA-ACA2-121DA30A4B1C}">
    <sortState xmlns:xlrd2="http://schemas.microsoft.com/office/spreadsheetml/2017/richdata2" ref="F4:L24">
      <sortCondition ref="H3:H24"/>
    </sortState>
  </autoFilter>
  <mergeCells count="6">
    <mergeCell ref="Z30:AC30"/>
    <mergeCell ref="M7:O7"/>
    <mergeCell ref="P11:Q11"/>
    <mergeCell ref="P10:Q10"/>
    <mergeCell ref="I16:I17"/>
    <mergeCell ref="I13:I14"/>
  </mergeCells>
  <phoneticPr fontId="53" type="noConversion"/>
  <pageMargins left="0.7" right="0.7" top="0.75" bottom="0.75" header="0.3" footer="0.3"/>
  <pageSetup paperSize="9" orientation="portrait" horizontalDpi="360"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9"/>
  <sheetViews>
    <sheetView topLeftCell="A10" workbookViewId="0">
      <selection activeCell="B9" sqref="B9"/>
    </sheetView>
  </sheetViews>
  <sheetFormatPr defaultColWidth="58.21875" defaultRowHeight="22.2" customHeight="1" x14ac:dyDescent="0.3"/>
  <cols>
    <col min="1" max="1" width="62.77734375" style="168" customWidth="1"/>
    <col min="2" max="2" width="70.109375" style="213" customWidth="1"/>
    <col min="3" max="16384" width="58.21875" style="1"/>
  </cols>
  <sheetData>
    <row r="1" spans="1:3" s="25" customFormat="1" ht="22.2" customHeight="1" thickBot="1" x14ac:dyDescent="0.35">
      <c r="A1" s="204" t="s">
        <v>819</v>
      </c>
      <c r="B1" s="208" t="s">
        <v>826</v>
      </c>
    </row>
    <row r="2" spans="1:3" s="25" customFormat="1" ht="22.2" customHeight="1" x14ac:dyDescent="0.3">
      <c r="A2" s="206" t="s">
        <v>834</v>
      </c>
      <c r="B2" s="209" t="s">
        <v>835</v>
      </c>
    </row>
    <row r="3" spans="1:3" s="5" customFormat="1" ht="58.2" thickBot="1" x14ac:dyDescent="0.35">
      <c r="A3" s="207" t="s">
        <v>836</v>
      </c>
      <c r="B3" s="210" t="s">
        <v>837</v>
      </c>
    </row>
    <row r="4" spans="1:3" ht="22.2" customHeight="1" x14ac:dyDescent="0.3">
      <c r="A4" s="205" t="s">
        <v>827</v>
      </c>
      <c r="B4" s="211" t="s">
        <v>828</v>
      </c>
    </row>
    <row r="5" spans="1:3" ht="27.6" x14ac:dyDescent="0.3">
      <c r="A5" s="202" t="s">
        <v>820</v>
      </c>
      <c r="B5" s="212" t="s">
        <v>821</v>
      </c>
    </row>
    <row r="6" spans="1:3" s="5" customFormat="1" ht="22.2" customHeight="1" x14ac:dyDescent="0.3">
      <c r="A6" s="202" t="s">
        <v>824</v>
      </c>
      <c r="B6" s="212" t="s">
        <v>825</v>
      </c>
    </row>
    <row r="7" spans="1:3" s="5" customFormat="1" ht="22.2" customHeight="1" x14ac:dyDescent="0.3">
      <c r="A7" s="202" t="s">
        <v>823</v>
      </c>
      <c r="B7" s="212" t="s">
        <v>822</v>
      </c>
    </row>
    <row r="8" spans="1:3" s="203" customFormat="1" ht="22.2" customHeight="1" x14ac:dyDescent="0.3">
      <c r="A8" s="202" t="s">
        <v>829</v>
      </c>
      <c r="B8" s="212" t="s">
        <v>830</v>
      </c>
    </row>
    <row r="9" spans="1:3" s="5" customFormat="1" ht="22.2" customHeight="1" x14ac:dyDescent="0.3">
      <c r="A9" s="201"/>
      <c r="B9" s="212" t="s">
        <v>831</v>
      </c>
      <c r="C9" s="5" t="s">
        <v>832</v>
      </c>
    </row>
    <row r="10" spans="1:3" s="5" customFormat="1" ht="22.2" customHeight="1" x14ac:dyDescent="0.3">
      <c r="A10" s="201"/>
      <c r="B10" s="212" t="s">
        <v>838</v>
      </c>
      <c r="C10" s="5" t="s">
        <v>833</v>
      </c>
    </row>
    <row r="11" spans="1:3" s="5" customFormat="1" ht="22.2" customHeight="1" x14ac:dyDescent="0.3">
      <c r="A11" s="201"/>
      <c r="B11" s="212" t="s">
        <v>839</v>
      </c>
    </row>
    <row r="12" spans="1:3" s="5" customFormat="1" ht="22.2" customHeight="1" x14ac:dyDescent="0.3">
      <c r="A12" s="201"/>
      <c r="B12" s="212" t="s">
        <v>840</v>
      </c>
    </row>
    <row r="13" spans="1:3" s="5" customFormat="1" ht="22.2" customHeight="1" x14ac:dyDescent="0.3">
      <c r="A13" s="201"/>
      <c r="B13" s="212" t="s">
        <v>843</v>
      </c>
    </row>
    <row r="14" spans="1:3" ht="22.2" customHeight="1" x14ac:dyDescent="0.3">
      <c r="A14" s="201"/>
      <c r="B14" s="212" t="s">
        <v>841</v>
      </c>
    </row>
    <row r="15" spans="1:3" ht="22.2" customHeight="1" x14ac:dyDescent="0.3">
      <c r="A15" s="201"/>
      <c r="B15" s="212" t="s">
        <v>842</v>
      </c>
    </row>
    <row r="16" spans="1:3" ht="22.2" customHeight="1" x14ac:dyDescent="0.3">
      <c r="A16" s="201"/>
      <c r="B16" s="212" t="s">
        <v>844</v>
      </c>
    </row>
    <row r="17" spans="1:2" ht="22.2" customHeight="1" x14ac:dyDescent="0.3">
      <c r="A17" s="201"/>
      <c r="B17" s="212" t="s">
        <v>845</v>
      </c>
    </row>
    <row r="18" spans="1:2" ht="41.4" x14ac:dyDescent="0.3">
      <c r="A18" s="201"/>
      <c r="B18" s="212" t="s">
        <v>846</v>
      </c>
    </row>
    <row r="19" spans="1:2" ht="41.4" x14ac:dyDescent="0.3">
      <c r="A19" s="201"/>
      <c r="B19" s="212" t="s">
        <v>847</v>
      </c>
    </row>
    <row r="20" spans="1:2" ht="55.2" x14ac:dyDescent="0.3">
      <c r="A20" s="201"/>
      <c r="B20" s="212" t="s">
        <v>848</v>
      </c>
    </row>
    <row r="21" spans="1:2" ht="22.2" customHeight="1" x14ac:dyDescent="0.3">
      <c r="A21" s="201"/>
      <c r="B21" s="212"/>
    </row>
    <row r="22" spans="1:2" ht="22.2" customHeight="1" x14ac:dyDescent="0.3">
      <c r="A22" s="201"/>
      <c r="B22" s="212"/>
    </row>
    <row r="23" spans="1:2" ht="22.2" customHeight="1" x14ac:dyDescent="0.3">
      <c r="A23" s="201"/>
      <c r="B23" s="212"/>
    </row>
    <row r="24" spans="1:2" ht="22.2" customHeight="1" x14ac:dyDescent="0.3">
      <c r="A24" s="201"/>
      <c r="B24" s="212"/>
    </row>
    <row r="25" spans="1:2" ht="22.2" customHeight="1" x14ac:dyDescent="0.3">
      <c r="A25" s="201"/>
      <c r="B25" s="212"/>
    </row>
    <row r="26" spans="1:2" ht="22.2" customHeight="1" x14ac:dyDescent="0.3">
      <c r="A26" s="201"/>
      <c r="B26" s="212"/>
    </row>
    <row r="27" spans="1:2" ht="22.2" customHeight="1" x14ac:dyDescent="0.3">
      <c r="A27" s="201"/>
      <c r="B27" s="212"/>
    </row>
    <row r="28" spans="1:2" ht="22.2" customHeight="1" x14ac:dyDescent="0.3">
      <c r="A28" s="201"/>
      <c r="B28" s="212"/>
    </row>
    <row r="29" spans="1:2" ht="22.2" customHeight="1" x14ac:dyDescent="0.3">
      <c r="A29" s="201"/>
      <c r="B29" s="212"/>
    </row>
    <row r="30" spans="1:2" ht="22.2" customHeight="1" x14ac:dyDescent="0.3">
      <c r="A30" s="201"/>
      <c r="B30" s="212"/>
    </row>
    <row r="31" spans="1:2" ht="22.2" customHeight="1" x14ac:dyDescent="0.3">
      <c r="A31" s="201"/>
      <c r="B31" s="212"/>
    </row>
    <row r="32" spans="1:2" ht="22.2" customHeight="1" x14ac:dyDescent="0.3">
      <c r="A32" s="201"/>
      <c r="B32" s="212"/>
    </row>
    <row r="33" spans="1:2" ht="22.2" customHeight="1" x14ac:dyDescent="0.3">
      <c r="A33" s="201"/>
      <c r="B33" s="212"/>
    </row>
    <row r="34" spans="1:2" ht="22.2" customHeight="1" x14ac:dyDescent="0.3">
      <c r="A34" s="201"/>
      <c r="B34" s="212"/>
    </row>
    <row r="35" spans="1:2" ht="22.2" customHeight="1" x14ac:dyDescent="0.3">
      <c r="A35" s="201"/>
      <c r="B35" s="212"/>
    </row>
    <row r="36" spans="1:2" ht="22.2" customHeight="1" x14ac:dyDescent="0.3">
      <c r="A36" s="201"/>
      <c r="B36" s="212"/>
    </row>
    <row r="37" spans="1:2" ht="22.2" customHeight="1" x14ac:dyDescent="0.3">
      <c r="A37" s="201"/>
      <c r="B37" s="212"/>
    </row>
    <row r="38" spans="1:2" ht="22.2" customHeight="1" x14ac:dyDescent="0.3">
      <c r="A38" s="201"/>
      <c r="B38" s="212"/>
    </row>
    <row r="39" spans="1:2" ht="22.2" customHeight="1" x14ac:dyDescent="0.3">
      <c r="A39" s="201"/>
      <c r="B39" s="212"/>
    </row>
    <row r="40" spans="1:2" ht="22.2" customHeight="1" x14ac:dyDescent="0.3">
      <c r="A40" s="201"/>
      <c r="B40" s="212"/>
    </row>
    <row r="41" spans="1:2" ht="22.2" customHeight="1" x14ac:dyDescent="0.3">
      <c r="A41" s="201"/>
      <c r="B41" s="212"/>
    </row>
    <row r="42" spans="1:2" ht="22.2" customHeight="1" x14ac:dyDescent="0.3">
      <c r="A42" s="201"/>
      <c r="B42" s="212"/>
    </row>
    <row r="43" spans="1:2" ht="22.2" customHeight="1" x14ac:dyDescent="0.3">
      <c r="A43" s="201"/>
      <c r="B43" s="212"/>
    </row>
    <row r="44" spans="1:2" ht="22.2" customHeight="1" x14ac:dyDescent="0.3">
      <c r="A44" s="201"/>
      <c r="B44" s="212"/>
    </row>
    <row r="45" spans="1:2" ht="22.2" customHeight="1" x14ac:dyDescent="0.3">
      <c r="A45" s="201"/>
      <c r="B45" s="212"/>
    </row>
    <row r="46" spans="1:2" ht="22.2" customHeight="1" x14ac:dyDescent="0.3">
      <c r="A46" s="201"/>
      <c r="B46" s="212"/>
    </row>
    <row r="47" spans="1:2" ht="22.2" customHeight="1" x14ac:dyDescent="0.3">
      <c r="A47" s="201"/>
      <c r="B47" s="212"/>
    </row>
    <row r="48" spans="1:2" ht="22.2" customHeight="1" x14ac:dyDescent="0.3">
      <c r="A48" s="201"/>
      <c r="B48" s="212"/>
    </row>
    <row r="49" spans="1:2" ht="22.2" customHeight="1" x14ac:dyDescent="0.3">
      <c r="A49" s="201"/>
      <c r="B49" s="21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
  <sheetViews>
    <sheetView topLeftCell="A88" workbookViewId="0">
      <selection activeCell="F52" sqref="F52"/>
    </sheetView>
  </sheetViews>
  <sheetFormatPr defaultColWidth="9.109375" defaultRowHeight="15.6" x14ac:dyDescent="0.3"/>
  <cols>
    <col min="1" max="1" width="14" style="24" customWidth="1"/>
    <col min="2" max="2" width="14.6640625" style="24" bestFit="1" customWidth="1"/>
    <col min="3" max="3" width="15.44140625" style="24" bestFit="1" customWidth="1"/>
    <col min="4" max="5" width="13.109375" style="24" bestFit="1" customWidth="1"/>
    <col min="6" max="12" width="9.109375" style="24"/>
    <col min="13" max="13" width="13.109375" style="24" bestFit="1" customWidth="1"/>
    <col min="14" max="16384" width="9.109375" style="24"/>
  </cols>
  <sheetData>
    <row r="1" spans="1:8" ht="16.2" thickBot="1" x14ac:dyDescent="0.35">
      <c r="A1" s="237" t="s">
        <v>22</v>
      </c>
      <c r="B1" s="238"/>
      <c r="C1" s="238"/>
      <c r="D1" s="238"/>
      <c r="E1" s="238"/>
      <c r="F1" s="238"/>
      <c r="G1" s="238"/>
      <c r="H1" s="239"/>
    </row>
    <row r="2" spans="1:8" ht="38.25" customHeight="1" x14ac:dyDescent="0.3">
      <c r="B2" s="25" t="s">
        <v>187</v>
      </c>
      <c r="C2" s="25" t="s">
        <v>188</v>
      </c>
      <c r="D2" s="24" t="s">
        <v>196</v>
      </c>
    </row>
    <row r="3" spans="1:8" ht="31.2" x14ac:dyDescent="0.3">
      <c r="A3" s="24">
        <v>1</v>
      </c>
      <c r="B3" s="24" t="s">
        <v>189</v>
      </c>
      <c r="C3" s="24" t="s">
        <v>192</v>
      </c>
      <c r="D3" s="26">
        <v>0.33</v>
      </c>
    </row>
    <row r="4" spans="1:8" x14ac:dyDescent="0.3">
      <c r="A4" s="24">
        <v>2</v>
      </c>
      <c r="B4" s="24" t="s">
        <v>190</v>
      </c>
      <c r="C4" s="24" t="s">
        <v>193</v>
      </c>
      <c r="D4" s="26">
        <v>0.33</v>
      </c>
    </row>
    <row r="5" spans="1:8" ht="31.2" x14ac:dyDescent="0.3">
      <c r="A5" s="24">
        <v>3</v>
      </c>
      <c r="B5" s="24" t="s">
        <v>191</v>
      </c>
      <c r="C5" s="24" t="s">
        <v>194</v>
      </c>
      <c r="D5" s="26">
        <v>0.33</v>
      </c>
    </row>
    <row r="7" spans="1:8" x14ac:dyDescent="0.3">
      <c r="A7" s="24" t="s">
        <v>195</v>
      </c>
      <c r="B7" s="24" t="s">
        <v>197</v>
      </c>
      <c r="C7" s="27">
        <f>D3*D3</f>
        <v>0.10890000000000001</v>
      </c>
    </row>
    <row r="8" spans="1:8" ht="16.2" thickBot="1" x14ac:dyDescent="0.35"/>
    <row r="9" spans="1:8" ht="16.2" thickBot="1" x14ac:dyDescent="0.35">
      <c r="A9" s="237" t="s">
        <v>25</v>
      </c>
      <c r="B9" s="238"/>
      <c r="C9" s="238"/>
      <c r="D9" s="238"/>
      <c r="E9" s="238"/>
      <c r="F9" s="238"/>
      <c r="G9" s="238"/>
      <c r="H9" s="239"/>
    </row>
    <row r="10" spans="1:8" x14ac:dyDescent="0.3">
      <c r="A10" s="24" t="s">
        <v>53</v>
      </c>
      <c r="B10" s="24" t="s">
        <v>54</v>
      </c>
    </row>
    <row r="11" spans="1:8" ht="31.2" x14ac:dyDescent="0.3">
      <c r="A11" s="27" t="s">
        <v>198</v>
      </c>
      <c r="B11" s="28" t="s">
        <v>199</v>
      </c>
    </row>
    <row r="12" spans="1:8" x14ac:dyDescent="0.3">
      <c r="A12" s="27">
        <f>FACT(7)</f>
        <v>5040</v>
      </c>
      <c r="B12" s="27">
        <f>1/A12</f>
        <v>1.9841269841269841E-4</v>
      </c>
    </row>
    <row r="13" spans="1:8" ht="16.2" thickBot="1" x14ac:dyDescent="0.35"/>
    <row r="14" spans="1:8" ht="16.2" thickBot="1" x14ac:dyDescent="0.35">
      <c r="A14" s="237" t="s">
        <v>29</v>
      </c>
      <c r="B14" s="238"/>
      <c r="C14" s="238"/>
      <c r="D14" s="238"/>
      <c r="E14" s="238"/>
      <c r="F14" s="238"/>
      <c r="G14" s="238"/>
      <c r="H14" s="239"/>
    </row>
    <row r="15" spans="1:8" x14ac:dyDescent="0.3">
      <c r="A15" s="24" t="s">
        <v>200</v>
      </c>
    </row>
    <row r="16" spans="1:8" x14ac:dyDescent="0.3">
      <c r="A16" s="27">
        <f>1/50*1/49</f>
        <v>4.0816326530612246E-4</v>
      </c>
    </row>
    <row r="17" spans="1:8" ht="16.2" thickBot="1" x14ac:dyDescent="0.35"/>
    <row r="18" spans="1:8" ht="16.2" thickBot="1" x14ac:dyDescent="0.35">
      <c r="A18" s="237" t="s">
        <v>34</v>
      </c>
      <c r="B18" s="238"/>
      <c r="C18" s="238"/>
      <c r="D18" s="238"/>
      <c r="E18" s="238"/>
      <c r="F18" s="238"/>
      <c r="G18" s="238"/>
      <c r="H18" s="239"/>
    </row>
    <row r="19" spans="1:8" ht="31.2" x14ac:dyDescent="0.3">
      <c r="A19" s="24" t="s">
        <v>212</v>
      </c>
    </row>
    <row r="20" spans="1:8" x14ac:dyDescent="0.3">
      <c r="A20" s="24">
        <f>1/6*1/5*1/4</f>
        <v>8.3333333333333332E-3</v>
      </c>
    </row>
    <row r="21" spans="1:8" ht="16.2" thickBot="1" x14ac:dyDescent="0.35"/>
    <row r="22" spans="1:8" ht="16.5" customHeight="1" thickBot="1" x14ac:dyDescent="0.35">
      <c r="A22" s="237" t="s">
        <v>42</v>
      </c>
      <c r="B22" s="238"/>
      <c r="C22" s="238"/>
      <c r="D22" s="238"/>
      <c r="E22" s="238"/>
      <c r="F22" s="238"/>
      <c r="G22" s="238"/>
      <c r="H22" s="239"/>
    </row>
    <row r="23" spans="1:8" x14ac:dyDescent="0.3">
      <c r="A23" s="24" t="s">
        <v>203</v>
      </c>
    </row>
    <row r="24" spans="1:8" x14ac:dyDescent="0.3">
      <c r="A24" s="27">
        <f>4/6*3/5*2/4</f>
        <v>0.2</v>
      </c>
    </row>
    <row r="25" spans="1:8" ht="16.2" thickBot="1" x14ac:dyDescent="0.35"/>
    <row r="26" spans="1:8" ht="16.2" thickBot="1" x14ac:dyDescent="0.35">
      <c r="A26" s="237" t="s">
        <v>45</v>
      </c>
      <c r="B26" s="238"/>
      <c r="C26" s="238"/>
      <c r="D26" s="238"/>
      <c r="E26" s="238"/>
      <c r="F26" s="238"/>
      <c r="G26" s="238"/>
      <c r="H26" s="239"/>
    </row>
    <row r="27" spans="1:8" ht="31.2" x14ac:dyDescent="0.3">
      <c r="A27" s="24" t="s">
        <v>201</v>
      </c>
      <c r="B27" s="24" t="s">
        <v>202</v>
      </c>
    </row>
    <row r="28" spans="1:8" x14ac:dyDescent="0.3">
      <c r="A28" s="24" t="s">
        <v>206</v>
      </c>
      <c r="B28" s="30">
        <v>1.6666666666666666E-2</v>
      </c>
    </row>
    <row r="29" spans="1:8" x14ac:dyDescent="0.3">
      <c r="A29" s="27">
        <f>5*4*3</f>
        <v>60</v>
      </c>
      <c r="B29" s="27">
        <f>1/A29</f>
        <v>1.6666666666666666E-2</v>
      </c>
    </row>
    <row r="30" spans="1:8" ht="16.2" thickBot="1" x14ac:dyDescent="0.35"/>
    <row r="31" spans="1:8" ht="16.2" thickBot="1" x14ac:dyDescent="0.35">
      <c r="A31" s="237" t="s">
        <v>46</v>
      </c>
      <c r="B31" s="238"/>
      <c r="C31" s="238"/>
      <c r="D31" s="238"/>
      <c r="E31" s="238"/>
      <c r="F31" s="238"/>
      <c r="G31" s="238"/>
      <c r="H31" s="239"/>
    </row>
    <row r="32" spans="1:8" x14ac:dyDescent="0.3">
      <c r="A32" s="24" t="s">
        <v>53</v>
      </c>
      <c r="B32" s="24" t="s">
        <v>54</v>
      </c>
    </row>
    <row r="33" spans="1:8" x14ac:dyDescent="0.3">
      <c r="A33" s="27" t="s">
        <v>204</v>
      </c>
      <c r="B33" s="27" t="s">
        <v>205</v>
      </c>
    </row>
    <row r="34" spans="1:8" x14ac:dyDescent="0.3">
      <c r="A34" s="27">
        <f>FACT(4)</f>
        <v>24</v>
      </c>
      <c r="B34" s="27">
        <f>FACT(3)</f>
        <v>6</v>
      </c>
    </row>
    <row r="35" spans="1:8" ht="16.2" thickBot="1" x14ac:dyDescent="0.35"/>
    <row r="36" spans="1:8" ht="16.2" thickBot="1" x14ac:dyDescent="0.35">
      <c r="A36" s="237" t="s">
        <v>47</v>
      </c>
      <c r="B36" s="238"/>
      <c r="C36" s="238"/>
      <c r="D36" s="238"/>
      <c r="E36" s="238"/>
      <c r="F36" s="238"/>
      <c r="G36" s="238"/>
      <c r="H36" s="239"/>
    </row>
    <row r="37" spans="1:8" x14ac:dyDescent="0.3">
      <c r="A37" s="24">
        <f>COMBIN(8,2)</f>
        <v>28</v>
      </c>
    </row>
    <row r="38" spans="1:8" x14ac:dyDescent="0.3">
      <c r="A38" s="27">
        <f>8*7/2</f>
        <v>28</v>
      </c>
    </row>
    <row r="39" spans="1:8" ht="16.2" thickBot="1" x14ac:dyDescent="0.35"/>
    <row r="40" spans="1:8" ht="16.2" thickBot="1" x14ac:dyDescent="0.35">
      <c r="A40" s="237" t="s">
        <v>48</v>
      </c>
      <c r="B40" s="238"/>
      <c r="C40" s="238"/>
      <c r="D40" s="238"/>
      <c r="E40" s="238"/>
      <c r="F40" s="238"/>
      <c r="G40" s="238"/>
      <c r="H40" s="239"/>
    </row>
    <row r="41" spans="1:8" x14ac:dyDescent="0.3">
      <c r="A41" s="24" t="s">
        <v>53</v>
      </c>
      <c r="B41" s="24" t="s">
        <v>54</v>
      </c>
      <c r="C41" s="24" t="s">
        <v>55</v>
      </c>
      <c r="D41" s="24" t="s">
        <v>56</v>
      </c>
      <c r="E41" s="24" t="s">
        <v>138</v>
      </c>
    </row>
    <row r="42" spans="1:8" x14ac:dyDescent="0.3">
      <c r="A42" s="27">
        <f>PERMUT(7,2)</f>
        <v>42</v>
      </c>
      <c r="B42" s="27">
        <v>6</v>
      </c>
      <c r="C42" s="27">
        <v>6</v>
      </c>
      <c r="D42" s="27">
        <f>B42/A42</f>
        <v>0.14285714285714285</v>
      </c>
      <c r="E42" s="27">
        <f>(B42+C42)/A42</f>
        <v>0.2857142857142857</v>
      </c>
    </row>
    <row r="43" spans="1:8" x14ac:dyDescent="0.3">
      <c r="D43" s="27">
        <f>1/7</f>
        <v>0.14285714285714285</v>
      </c>
      <c r="E43" s="29">
        <f>2/7</f>
        <v>0.2857142857142857</v>
      </c>
    </row>
    <row r="44" spans="1:8" ht="16.2" thickBot="1" x14ac:dyDescent="0.35"/>
    <row r="45" spans="1:8" ht="16.2" thickBot="1" x14ac:dyDescent="0.35">
      <c r="A45" s="237" t="s">
        <v>49</v>
      </c>
      <c r="B45" s="238"/>
      <c r="C45" s="238"/>
      <c r="D45" s="238"/>
      <c r="E45" s="238"/>
      <c r="F45" s="238"/>
      <c r="G45" s="238"/>
      <c r="H45" s="239"/>
    </row>
    <row r="46" spans="1:8" x14ac:dyDescent="0.3">
      <c r="A46" s="24" t="s">
        <v>53</v>
      </c>
      <c r="B46" s="24" t="s">
        <v>54</v>
      </c>
      <c r="C46" s="24" t="s">
        <v>55</v>
      </c>
    </row>
    <row r="47" spans="1:8" x14ac:dyDescent="0.3">
      <c r="A47" s="27">
        <f>COMBIN(5,2)*COMBIN(6,4)</f>
        <v>150</v>
      </c>
      <c r="B47" s="27">
        <f>4*COMBIN(5,3)/A47</f>
        <v>0.26666666666666666</v>
      </c>
      <c r="C47" s="27">
        <f>COMBIN(4,2)*COMBIN(5,4)/A47</f>
        <v>0.2</v>
      </c>
    </row>
    <row r="48" spans="1:8" ht="16.2" thickBot="1" x14ac:dyDescent="0.35"/>
    <row r="49" spans="1:8" ht="16.2" thickBot="1" x14ac:dyDescent="0.35">
      <c r="A49" s="237" t="s">
        <v>52</v>
      </c>
      <c r="B49" s="238"/>
      <c r="C49" s="238"/>
      <c r="D49" s="238"/>
      <c r="E49" s="238"/>
      <c r="F49" s="238"/>
      <c r="G49" s="238"/>
      <c r="H49" s="239"/>
    </row>
    <row r="50" spans="1:8" x14ac:dyDescent="0.3">
      <c r="A50" s="24" t="s">
        <v>53</v>
      </c>
      <c r="B50" s="24" t="s">
        <v>54</v>
      </c>
    </row>
    <row r="51" spans="1:8" x14ac:dyDescent="0.3">
      <c r="A51" s="27">
        <f>COMBIN(6,2)*COMBIN(4,2)</f>
        <v>90</v>
      </c>
      <c r="B51" s="27">
        <f>(COMBIN(5,1)*COMBIN(3,2)+COMBIN(5,2)*COMBIN(3,1))/A51</f>
        <v>0.5</v>
      </c>
    </row>
    <row r="52" spans="1:8" ht="16.2" thickBot="1" x14ac:dyDescent="0.35"/>
    <row r="53" spans="1:8" ht="16.2" thickBot="1" x14ac:dyDescent="0.35">
      <c r="A53" s="237" t="s">
        <v>61</v>
      </c>
      <c r="B53" s="238"/>
      <c r="C53" s="238"/>
      <c r="D53" s="238"/>
      <c r="E53" s="238"/>
      <c r="F53" s="238"/>
      <c r="G53" s="238"/>
      <c r="H53" s="239"/>
    </row>
    <row r="54" spans="1:8" x14ac:dyDescent="0.3">
      <c r="A54" s="27">
        <f>35/100</f>
        <v>0.35</v>
      </c>
    </row>
    <row r="61" spans="1:8" x14ac:dyDescent="0.3">
      <c r="A61" s="27"/>
    </row>
    <row r="62" spans="1:8" ht="16.2" thickBot="1" x14ac:dyDescent="0.35"/>
    <row r="63" spans="1:8" ht="16.2" thickBot="1" x14ac:dyDescent="0.35">
      <c r="A63" s="237" t="s">
        <v>80</v>
      </c>
      <c r="B63" s="238"/>
      <c r="C63" s="238"/>
      <c r="D63" s="238"/>
      <c r="E63" s="238"/>
      <c r="F63" s="238"/>
      <c r="G63" s="238"/>
      <c r="H63" s="239"/>
    </row>
    <row r="64" spans="1:8" x14ac:dyDescent="0.3">
      <c r="A64" s="27">
        <f>35/100</f>
        <v>0.35</v>
      </c>
    </row>
    <row r="70" spans="1:13" ht="16.2" thickBot="1" x14ac:dyDescent="0.35"/>
    <row r="71" spans="1:13" ht="16.2" thickBot="1" x14ac:dyDescent="0.35">
      <c r="A71" s="237" t="s">
        <v>81</v>
      </c>
      <c r="B71" s="238"/>
      <c r="C71" s="238"/>
      <c r="D71" s="238"/>
      <c r="E71" s="238"/>
      <c r="F71" s="238"/>
      <c r="G71" s="238"/>
      <c r="H71" s="239"/>
    </row>
    <row r="72" spans="1:13" x14ac:dyDescent="0.3">
      <c r="A72" s="24" t="s">
        <v>53</v>
      </c>
      <c r="B72" s="24" t="s">
        <v>54</v>
      </c>
      <c r="C72" s="24" t="s">
        <v>55</v>
      </c>
    </row>
    <row r="73" spans="1:13" x14ac:dyDescent="0.3">
      <c r="A73" s="27" t="s">
        <v>207</v>
      </c>
      <c r="B73" s="27" t="s">
        <v>207</v>
      </c>
      <c r="C73" s="27" t="s">
        <v>207</v>
      </c>
    </row>
    <row r="74" spans="1:13" ht="16.2" thickBot="1" x14ac:dyDescent="0.35"/>
    <row r="75" spans="1:13" ht="16.2" thickBot="1" x14ac:dyDescent="0.35">
      <c r="A75" s="237" t="s">
        <v>90</v>
      </c>
      <c r="B75" s="238"/>
      <c r="C75" s="238"/>
      <c r="D75" s="238"/>
      <c r="E75" s="238"/>
      <c r="F75" s="238"/>
      <c r="G75" s="238"/>
      <c r="H75" s="239"/>
    </row>
    <row r="76" spans="1:13" x14ac:dyDescent="0.3">
      <c r="A76" s="24" t="s">
        <v>53</v>
      </c>
      <c r="B76" s="24" t="s">
        <v>54</v>
      </c>
    </row>
    <row r="77" spans="1:13" x14ac:dyDescent="0.3">
      <c r="A77" s="27">
        <f>6/10</f>
        <v>0.6</v>
      </c>
      <c r="B77" s="27">
        <f>9/10*9/10*9/10*9/10*1/10</f>
        <v>6.5609999999999988E-2</v>
      </c>
    </row>
    <row r="78" spans="1:13" ht="16.2" thickBot="1" x14ac:dyDescent="0.35"/>
    <row r="79" spans="1:13" ht="16.2" thickBot="1" x14ac:dyDescent="0.35">
      <c r="A79" s="237" t="s">
        <v>100</v>
      </c>
      <c r="B79" s="238"/>
      <c r="C79" s="238"/>
      <c r="D79" s="238"/>
      <c r="E79" s="238"/>
      <c r="F79" s="238"/>
      <c r="G79" s="238"/>
      <c r="H79" s="239"/>
      <c r="M79" s="31"/>
    </row>
    <row r="80" spans="1:13" x14ac:dyDescent="0.3">
      <c r="A80" s="32">
        <f>1-98/100*99/100*96/100</f>
        <v>6.8608000000000113E-2</v>
      </c>
    </row>
    <row r="81" spans="1:8" ht="16.2" thickBot="1" x14ac:dyDescent="0.35"/>
    <row r="82" spans="1:8" ht="16.2" thickBot="1" x14ac:dyDescent="0.35">
      <c r="A82" s="237" t="s">
        <v>208</v>
      </c>
      <c r="B82" s="238"/>
      <c r="C82" s="238"/>
      <c r="D82" s="238"/>
      <c r="E82" s="238"/>
      <c r="F82" s="238"/>
      <c r="G82" s="238"/>
      <c r="H82" s="239"/>
    </row>
    <row r="83" spans="1:8" x14ac:dyDescent="0.3">
      <c r="A83" s="27">
        <f>(1-(0.02+0.15))/1</f>
        <v>0.83000000000000007</v>
      </c>
    </row>
    <row r="84" spans="1:8" ht="16.2" thickBot="1" x14ac:dyDescent="0.35"/>
    <row r="85" spans="1:8" ht="16.2" thickBot="1" x14ac:dyDescent="0.35">
      <c r="A85" s="237" t="s">
        <v>174</v>
      </c>
      <c r="B85" s="238"/>
      <c r="C85" s="238"/>
      <c r="D85" s="238"/>
      <c r="E85" s="238"/>
      <c r="F85" s="238"/>
      <c r="G85" s="238"/>
      <c r="H85" s="239"/>
    </row>
    <row r="86" spans="1:8" x14ac:dyDescent="0.3">
      <c r="A86" s="24" t="s">
        <v>53</v>
      </c>
      <c r="B86" s="24" t="s">
        <v>54</v>
      </c>
    </row>
    <row r="87" spans="1:8" x14ac:dyDescent="0.3">
      <c r="A87" s="27">
        <f>10/18</f>
        <v>0.55555555555555558</v>
      </c>
      <c r="B87" s="27">
        <f>10/12</f>
        <v>0.83333333333333337</v>
      </c>
    </row>
    <row r="88" spans="1:8" ht="16.2" thickBot="1" x14ac:dyDescent="0.35"/>
    <row r="89" spans="1:8" ht="16.2" thickBot="1" x14ac:dyDescent="0.35">
      <c r="A89" s="237" t="s">
        <v>209</v>
      </c>
      <c r="B89" s="238"/>
      <c r="C89" s="238"/>
      <c r="D89" s="238"/>
      <c r="E89" s="238"/>
      <c r="F89" s="238"/>
      <c r="G89" s="238"/>
      <c r="H89" s="239"/>
    </row>
    <row r="90" spans="1:8" x14ac:dyDescent="0.3">
      <c r="A90" s="27">
        <f>0.115</f>
        <v>0.115</v>
      </c>
    </row>
    <row r="91" spans="1:8" ht="16.2" thickBot="1" x14ac:dyDescent="0.35"/>
    <row r="92" spans="1:8" ht="16.2" thickBot="1" x14ac:dyDescent="0.35">
      <c r="A92" s="237" t="s">
        <v>114</v>
      </c>
      <c r="B92" s="238"/>
      <c r="C92" s="238"/>
      <c r="D92" s="238"/>
      <c r="E92" s="238"/>
      <c r="F92" s="238"/>
      <c r="G92" s="238"/>
      <c r="H92" s="239"/>
    </row>
    <row r="93" spans="1:8" x14ac:dyDescent="0.3">
      <c r="A93" s="24">
        <f>(1/4*1/3)+(1/5*1/4)</f>
        <v>0.13333333333333333</v>
      </c>
      <c r="B93" s="24" t="b">
        <v>0</v>
      </c>
    </row>
    <row r="94" spans="1:8" ht="16.2" thickBot="1" x14ac:dyDescent="0.35"/>
    <row r="95" spans="1:8" ht="16.2" thickBot="1" x14ac:dyDescent="0.35">
      <c r="A95" s="237" t="s">
        <v>210</v>
      </c>
      <c r="B95" s="238"/>
      <c r="C95" s="238"/>
      <c r="D95" s="238"/>
      <c r="E95" s="238"/>
      <c r="F95" s="238"/>
      <c r="G95" s="238"/>
      <c r="H95" s="239"/>
    </row>
    <row r="96" spans="1:8" x14ac:dyDescent="0.3">
      <c r="A96" s="27">
        <f>2/15</f>
        <v>0.13333333333333333</v>
      </c>
    </row>
    <row r="97" spans="1:8" ht="16.2" thickBot="1" x14ac:dyDescent="0.35"/>
    <row r="98" spans="1:8" ht="16.2" thickBot="1" x14ac:dyDescent="0.35">
      <c r="A98" s="237" t="s">
        <v>123</v>
      </c>
      <c r="B98" s="238"/>
      <c r="C98" s="238"/>
      <c r="D98" s="238"/>
      <c r="E98" s="238"/>
      <c r="F98" s="238"/>
      <c r="G98" s="238"/>
      <c r="H98" s="239"/>
    </row>
    <row r="99" spans="1:8" x14ac:dyDescent="0.3">
      <c r="A99" s="24" t="s">
        <v>53</v>
      </c>
      <c r="B99" s="24" t="s">
        <v>54</v>
      </c>
      <c r="C99" s="24" t="s">
        <v>55</v>
      </c>
    </row>
    <row r="100" spans="1:8" x14ac:dyDescent="0.3">
      <c r="A100" s="24">
        <f>1-(10/100*20/100)</f>
        <v>0.98</v>
      </c>
      <c r="B100" s="24">
        <f>1-(20/100*60/100)</f>
        <v>0.88</v>
      </c>
      <c r="C100" s="24">
        <f>1-0.5*0.2</f>
        <v>0.9</v>
      </c>
    </row>
    <row r="101" spans="1:8" ht="16.2" thickBot="1" x14ac:dyDescent="0.35"/>
    <row r="102" spans="1:8" ht="16.2" thickBot="1" x14ac:dyDescent="0.35">
      <c r="A102" s="237" t="s">
        <v>211</v>
      </c>
      <c r="B102" s="238"/>
      <c r="C102" s="238"/>
      <c r="D102" s="238"/>
      <c r="E102" s="238"/>
      <c r="F102" s="238"/>
      <c r="G102" s="238"/>
      <c r="H102" s="239"/>
    </row>
  </sheetData>
  <mergeCells count="23">
    <mergeCell ref="A92:H92"/>
    <mergeCell ref="A95:H95"/>
    <mergeCell ref="A98:H98"/>
    <mergeCell ref="A102:H102"/>
    <mergeCell ref="A75:H75"/>
    <mergeCell ref="A79:H79"/>
    <mergeCell ref="A82:H82"/>
    <mergeCell ref="A85:H85"/>
    <mergeCell ref="A89:H89"/>
    <mergeCell ref="A45:H45"/>
    <mergeCell ref="A49:H49"/>
    <mergeCell ref="A53:H53"/>
    <mergeCell ref="A63:H63"/>
    <mergeCell ref="A71:H71"/>
    <mergeCell ref="A36:H36"/>
    <mergeCell ref="A40:H40"/>
    <mergeCell ref="A1:H1"/>
    <mergeCell ref="A9:H9"/>
    <mergeCell ref="A14:H14"/>
    <mergeCell ref="A18:H18"/>
    <mergeCell ref="A26:H26"/>
    <mergeCell ref="A31:H31"/>
    <mergeCell ref="A22:H22"/>
  </mergeCell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26"/>
  <sheetViews>
    <sheetView topLeftCell="A441" workbookViewId="0">
      <selection activeCell="K413" sqref="K413"/>
    </sheetView>
  </sheetViews>
  <sheetFormatPr defaultColWidth="9.109375" defaultRowHeight="15.6" x14ac:dyDescent="0.3"/>
  <cols>
    <col min="1" max="1" width="15.6640625" style="24" customWidth="1"/>
    <col min="2" max="2" width="14.6640625" style="24" customWidth="1"/>
    <col min="3" max="3" width="11.33203125" style="24" customWidth="1"/>
    <col min="4" max="4" width="13.44140625" style="24" bestFit="1" customWidth="1"/>
    <col min="5" max="5" width="13.5546875" style="24" bestFit="1" customWidth="1"/>
    <col min="6" max="6" width="13" style="24" customWidth="1"/>
    <col min="7" max="7" width="14.33203125" style="24" bestFit="1" customWidth="1"/>
    <col min="8" max="8" width="13.44140625" style="24" bestFit="1" customWidth="1"/>
    <col min="9" max="9" width="12.6640625" style="24" bestFit="1" customWidth="1"/>
    <col min="10" max="12" width="13.44140625" style="24" bestFit="1" customWidth="1"/>
    <col min="13" max="14" width="9.109375" style="24"/>
    <col min="15" max="15" width="13.44140625" style="24" bestFit="1" customWidth="1"/>
    <col min="16" max="22" width="9.109375" style="24"/>
    <col min="23" max="23" width="11.109375" style="24" bestFit="1" customWidth="1"/>
    <col min="24" max="16384" width="9.109375" style="24"/>
  </cols>
  <sheetData>
    <row r="1" spans="1:8" ht="16.2" thickBot="1" x14ac:dyDescent="0.35">
      <c r="A1" s="245" t="s">
        <v>0</v>
      </c>
      <c r="B1" s="246"/>
      <c r="C1" s="246"/>
      <c r="D1" s="246"/>
      <c r="E1" s="246"/>
      <c r="F1" s="246"/>
      <c r="G1" s="246"/>
      <c r="H1" s="247"/>
    </row>
    <row r="2" spans="1:8" x14ac:dyDescent="0.3">
      <c r="A2" s="248" t="s">
        <v>213</v>
      </c>
      <c r="B2" s="248"/>
      <c r="C2" s="248"/>
      <c r="D2" s="248" t="s">
        <v>214</v>
      </c>
      <c r="E2" s="248"/>
      <c r="F2" s="248" t="s">
        <v>215</v>
      </c>
      <c r="G2" s="248"/>
      <c r="H2" s="248"/>
    </row>
    <row r="3" spans="1:8" x14ac:dyDescent="0.3">
      <c r="A3" s="256">
        <v>0</v>
      </c>
      <c r="B3" s="256"/>
      <c r="C3" s="256"/>
      <c r="D3" s="256">
        <v>0.28000000000000003</v>
      </c>
      <c r="E3" s="256"/>
      <c r="F3" s="256">
        <f>D3</f>
        <v>0.28000000000000003</v>
      </c>
      <c r="G3" s="256"/>
      <c r="H3" s="256"/>
    </row>
    <row r="4" spans="1:8" x14ac:dyDescent="0.3">
      <c r="A4" s="256">
        <v>1</v>
      </c>
      <c r="B4" s="256"/>
      <c r="C4" s="256"/>
      <c r="D4" s="256">
        <v>0.36</v>
      </c>
      <c r="E4" s="256"/>
      <c r="F4" s="256">
        <f>D4+F3</f>
        <v>0.64</v>
      </c>
      <c r="G4" s="256"/>
      <c r="H4" s="256"/>
    </row>
    <row r="5" spans="1:8" x14ac:dyDescent="0.3">
      <c r="A5" s="256">
        <v>2</v>
      </c>
      <c r="B5" s="256"/>
      <c r="C5" s="256"/>
      <c r="D5" s="256">
        <v>0.23</v>
      </c>
      <c r="E5" s="256"/>
      <c r="F5" s="256">
        <f>D5+F4</f>
        <v>0.87</v>
      </c>
      <c r="G5" s="256"/>
      <c r="H5" s="256"/>
    </row>
    <row r="6" spans="1:8" x14ac:dyDescent="0.3">
      <c r="A6" s="256">
        <v>3</v>
      </c>
      <c r="B6" s="256"/>
      <c r="C6" s="256"/>
      <c r="D6" s="256">
        <v>0.09</v>
      </c>
      <c r="E6" s="256"/>
      <c r="F6" s="256">
        <f>D6+F5</f>
        <v>0.96</v>
      </c>
      <c r="G6" s="256"/>
      <c r="H6" s="256"/>
    </row>
    <row r="7" spans="1:8" x14ac:dyDescent="0.3">
      <c r="A7" s="256">
        <v>4</v>
      </c>
      <c r="B7" s="256"/>
      <c r="C7" s="256"/>
      <c r="D7" s="256">
        <v>0.04</v>
      </c>
      <c r="E7" s="256"/>
      <c r="F7" s="256">
        <f>D7+F6</f>
        <v>1</v>
      </c>
      <c r="G7" s="256"/>
      <c r="H7" s="256"/>
    </row>
    <row r="9" spans="1:8" x14ac:dyDescent="0.3">
      <c r="A9" s="256" t="s">
        <v>53</v>
      </c>
      <c r="B9" s="256"/>
      <c r="C9" s="256"/>
      <c r="D9" s="256"/>
      <c r="E9" s="256" t="s">
        <v>54</v>
      </c>
      <c r="F9" s="256"/>
      <c r="G9" s="256"/>
      <c r="H9" s="256"/>
    </row>
    <row r="19" spans="1:8" ht="16.2" thickBot="1" x14ac:dyDescent="0.35"/>
    <row r="20" spans="1:8" ht="16.2" thickBot="1" x14ac:dyDescent="0.35">
      <c r="A20" s="245" t="s">
        <v>7</v>
      </c>
      <c r="B20" s="246"/>
      <c r="C20" s="246"/>
      <c r="D20" s="246"/>
      <c r="E20" s="246"/>
      <c r="F20" s="246"/>
      <c r="G20" s="246"/>
      <c r="H20" s="247"/>
    </row>
    <row r="21" spans="1:8" ht="46.8" x14ac:dyDescent="0.3">
      <c r="A21" s="24" t="s">
        <v>216</v>
      </c>
      <c r="B21" s="24" t="s">
        <v>217</v>
      </c>
      <c r="C21" s="24" t="s">
        <v>215</v>
      </c>
    </row>
    <row r="22" spans="1:8" x14ac:dyDescent="0.3">
      <c r="A22" s="24">
        <v>0</v>
      </c>
      <c r="B22" s="24">
        <v>0.1</v>
      </c>
      <c r="C22" s="24">
        <f>B22</f>
        <v>0.1</v>
      </c>
    </row>
    <row r="23" spans="1:8" x14ac:dyDescent="0.3">
      <c r="A23" s="24">
        <v>1</v>
      </c>
      <c r="B23" s="24">
        <v>0.14000000000000001</v>
      </c>
      <c r="C23" s="24">
        <f>B23+C22</f>
        <v>0.24000000000000002</v>
      </c>
    </row>
    <row r="24" spans="1:8" x14ac:dyDescent="0.3">
      <c r="A24" s="24">
        <v>2</v>
      </c>
      <c r="B24" s="24">
        <v>0.26</v>
      </c>
      <c r="C24" s="24">
        <f>B24+C23</f>
        <v>0.5</v>
      </c>
    </row>
    <row r="25" spans="1:8" x14ac:dyDescent="0.3">
      <c r="A25" s="24">
        <v>3</v>
      </c>
      <c r="B25" s="24">
        <v>0.28000000000000003</v>
      </c>
      <c r="C25" s="24">
        <f>B25+C24</f>
        <v>0.78</v>
      </c>
    </row>
    <row r="26" spans="1:8" x14ac:dyDescent="0.3">
      <c r="A26" s="24">
        <v>4</v>
      </c>
      <c r="B26" s="24">
        <v>0.15</v>
      </c>
      <c r="C26" s="24">
        <f>B26+C25</f>
        <v>0.93</v>
      </c>
    </row>
    <row r="27" spans="1:8" x14ac:dyDescent="0.3">
      <c r="A27" s="24">
        <v>5</v>
      </c>
      <c r="B27" s="24">
        <v>7.0000000000000007E-2</v>
      </c>
      <c r="C27" s="24">
        <f>B27+C26</f>
        <v>1</v>
      </c>
    </row>
    <row r="28" spans="1:8" x14ac:dyDescent="0.3">
      <c r="A28" s="256" t="s">
        <v>53</v>
      </c>
      <c r="B28" s="256"/>
      <c r="C28" s="256" t="s">
        <v>54</v>
      </c>
      <c r="D28" s="256"/>
      <c r="E28" s="256"/>
      <c r="F28" s="256"/>
    </row>
    <row r="36" spans="1:8" x14ac:dyDescent="0.3">
      <c r="A36" s="24" t="s">
        <v>55</v>
      </c>
    </row>
    <row r="37" spans="1:8" x14ac:dyDescent="0.3">
      <c r="A37" s="24">
        <f>SUM(B25:B27)</f>
        <v>0.5</v>
      </c>
    </row>
    <row r="38" spans="1:8" ht="16.2" thickBot="1" x14ac:dyDescent="0.35"/>
    <row r="39" spans="1:8" ht="16.2" thickBot="1" x14ac:dyDescent="0.35">
      <c r="A39" s="245" t="s">
        <v>11</v>
      </c>
      <c r="B39" s="246"/>
      <c r="C39" s="246"/>
      <c r="D39" s="246"/>
      <c r="E39" s="246"/>
      <c r="F39" s="246"/>
      <c r="G39" s="246"/>
      <c r="H39" s="247"/>
    </row>
    <row r="40" spans="1:8" ht="31.2" x14ac:dyDescent="0.3">
      <c r="A40" s="24" t="s">
        <v>218</v>
      </c>
      <c r="B40" s="24" t="s">
        <v>219</v>
      </c>
      <c r="C40" s="24" t="s">
        <v>220</v>
      </c>
    </row>
    <row r="41" spans="1:8" x14ac:dyDescent="0.3">
      <c r="A41" s="24">
        <v>47</v>
      </c>
      <c r="B41" s="24">
        <v>0.04</v>
      </c>
      <c r="C41" s="24">
        <f>B41</f>
        <v>0.04</v>
      </c>
    </row>
    <row r="42" spans="1:8" x14ac:dyDescent="0.3">
      <c r="A42" s="24">
        <v>48</v>
      </c>
      <c r="B42" s="24">
        <v>0.13</v>
      </c>
      <c r="C42" s="24">
        <f t="shared" ref="C42:C47" si="0">B42+C41</f>
        <v>0.17</v>
      </c>
    </row>
    <row r="43" spans="1:8" x14ac:dyDescent="0.3">
      <c r="A43" s="24">
        <v>49</v>
      </c>
      <c r="B43" s="24">
        <v>0.21</v>
      </c>
      <c r="C43" s="24">
        <f t="shared" si="0"/>
        <v>0.38</v>
      </c>
    </row>
    <row r="44" spans="1:8" x14ac:dyDescent="0.3">
      <c r="A44" s="24">
        <v>50</v>
      </c>
      <c r="B44" s="24">
        <v>0.28999999999999998</v>
      </c>
      <c r="C44" s="24">
        <f t="shared" si="0"/>
        <v>0.66999999999999993</v>
      </c>
    </row>
    <row r="45" spans="1:8" x14ac:dyDescent="0.3">
      <c r="A45" s="24">
        <v>51</v>
      </c>
      <c r="B45" s="24">
        <v>0.2</v>
      </c>
      <c r="C45" s="24">
        <f t="shared" si="0"/>
        <v>0.86999999999999988</v>
      </c>
    </row>
    <row r="46" spans="1:8" x14ac:dyDescent="0.3">
      <c r="A46" s="24">
        <v>52</v>
      </c>
      <c r="B46" s="24">
        <v>0.1</v>
      </c>
      <c r="C46" s="24">
        <f t="shared" si="0"/>
        <v>0.96999999999999986</v>
      </c>
    </row>
    <row r="47" spans="1:8" x14ac:dyDescent="0.3">
      <c r="A47" s="24">
        <v>53</v>
      </c>
      <c r="B47" s="24">
        <v>0.03</v>
      </c>
      <c r="C47" s="24">
        <f t="shared" si="0"/>
        <v>0.99999999999999989</v>
      </c>
    </row>
    <row r="49" spans="1:8" x14ac:dyDescent="0.3">
      <c r="A49" s="256" t="s">
        <v>53</v>
      </c>
      <c r="B49" s="256"/>
      <c r="C49" s="256" t="s">
        <v>54</v>
      </c>
      <c r="D49" s="256"/>
      <c r="E49" s="256"/>
    </row>
    <row r="58" spans="1:8" x14ac:dyDescent="0.3">
      <c r="A58" s="24" t="s">
        <v>55</v>
      </c>
      <c r="B58" s="24" t="s">
        <v>56</v>
      </c>
    </row>
    <row r="59" spans="1:8" x14ac:dyDescent="0.3">
      <c r="A59" s="24">
        <f>SUM(B43:B45)</f>
        <v>0.7</v>
      </c>
      <c r="B59" s="24">
        <f>1-SUM(B41:B43)^2</f>
        <v>0.85560000000000003</v>
      </c>
    </row>
    <row r="60" spans="1:8" ht="16.2" thickBot="1" x14ac:dyDescent="0.35">
      <c r="B60" s="24">
        <f>1-(1-SUM(B44:B47))^2</f>
        <v>0.85560000000000003</v>
      </c>
    </row>
    <row r="61" spans="1:8" ht="16.2" thickBot="1" x14ac:dyDescent="0.35">
      <c r="A61" s="245" t="s">
        <v>15</v>
      </c>
      <c r="B61" s="246"/>
      <c r="C61" s="246"/>
      <c r="D61" s="246"/>
      <c r="E61" s="246"/>
      <c r="F61" s="246"/>
      <c r="G61" s="246"/>
      <c r="H61" s="247"/>
    </row>
    <row r="62" spans="1:8" ht="46.8" x14ac:dyDescent="0.3">
      <c r="A62" s="24" t="s">
        <v>221</v>
      </c>
      <c r="B62" s="24" t="s">
        <v>217</v>
      </c>
      <c r="C62" s="24" t="s">
        <v>222</v>
      </c>
    </row>
    <row r="63" spans="1:8" x14ac:dyDescent="0.3">
      <c r="A63" s="24">
        <v>0</v>
      </c>
      <c r="B63" s="24">
        <v>0.02</v>
      </c>
      <c r="C63" s="24">
        <f>B63</f>
        <v>0.02</v>
      </c>
    </row>
    <row r="64" spans="1:8" x14ac:dyDescent="0.3">
      <c r="A64" s="24">
        <v>1</v>
      </c>
      <c r="B64" s="24">
        <v>0.12</v>
      </c>
      <c r="C64" s="24">
        <f t="shared" ref="C64:C70" si="1">B64+C63</f>
        <v>0.13999999999999999</v>
      </c>
    </row>
    <row r="65" spans="1:5" x14ac:dyDescent="0.3">
      <c r="A65" s="24">
        <v>2</v>
      </c>
      <c r="B65" s="24">
        <v>0.23</v>
      </c>
      <c r="C65" s="24">
        <f t="shared" si="1"/>
        <v>0.37</v>
      </c>
    </row>
    <row r="66" spans="1:5" x14ac:dyDescent="0.3">
      <c r="A66" s="24">
        <v>3</v>
      </c>
      <c r="B66" s="24">
        <v>0.31</v>
      </c>
      <c r="C66" s="24">
        <f t="shared" si="1"/>
        <v>0.67999999999999994</v>
      </c>
    </row>
    <row r="67" spans="1:5" x14ac:dyDescent="0.3">
      <c r="A67" s="24">
        <v>4</v>
      </c>
      <c r="B67" s="24">
        <v>0.19</v>
      </c>
      <c r="C67" s="24">
        <f t="shared" si="1"/>
        <v>0.86999999999999988</v>
      </c>
    </row>
    <row r="68" spans="1:5" x14ac:dyDescent="0.3">
      <c r="A68" s="24">
        <v>5</v>
      </c>
      <c r="B68" s="24">
        <v>0.08</v>
      </c>
      <c r="C68" s="24">
        <f t="shared" si="1"/>
        <v>0.94999999999999984</v>
      </c>
    </row>
    <row r="69" spans="1:5" x14ac:dyDescent="0.3">
      <c r="A69" s="24">
        <v>6</v>
      </c>
      <c r="B69" s="24">
        <v>0.03</v>
      </c>
      <c r="C69" s="24">
        <f t="shared" si="1"/>
        <v>0.97999999999999987</v>
      </c>
    </row>
    <row r="70" spans="1:5" x14ac:dyDescent="0.3">
      <c r="A70" s="24">
        <v>7</v>
      </c>
      <c r="B70" s="24">
        <v>0.02</v>
      </c>
      <c r="C70" s="24">
        <f t="shared" si="1"/>
        <v>0.99999999999999989</v>
      </c>
    </row>
    <row r="72" spans="1:5" x14ac:dyDescent="0.3">
      <c r="A72" s="256" t="s">
        <v>53</v>
      </c>
      <c r="B72" s="256"/>
      <c r="C72" s="256" t="s">
        <v>54</v>
      </c>
      <c r="D72" s="256"/>
      <c r="E72" s="256"/>
    </row>
    <row r="81" spans="1:8" x14ac:dyDescent="0.3">
      <c r="A81" s="24" t="s">
        <v>55</v>
      </c>
      <c r="B81" s="24" t="s">
        <v>56</v>
      </c>
    </row>
    <row r="82" spans="1:8" x14ac:dyDescent="0.3">
      <c r="A82" s="35">
        <f>SUM(B67:B70)</f>
        <v>0.32000000000000006</v>
      </c>
      <c r="B82" s="35">
        <f>SUM(B63:B65)^2</f>
        <v>0.13689999999999999</v>
      </c>
    </row>
    <row r="83" spans="1:8" ht="16.2" thickBot="1" x14ac:dyDescent="0.35"/>
    <row r="84" spans="1:8" ht="16.2" thickBot="1" x14ac:dyDescent="0.35">
      <c r="A84" s="245" t="s">
        <v>16</v>
      </c>
      <c r="B84" s="246"/>
      <c r="C84" s="246"/>
      <c r="D84" s="246"/>
      <c r="E84" s="246"/>
      <c r="F84" s="246"/>
      <c r="G84" s="246"/>
      <c r="H84" s="247"/>
    </row>
    <row r="85" spans="1:8" ht="46.8" x14ac:dyDescent="0.3">
      <c r="A85" s="24" t="s">
        <v>224</v>
      </c>
      <c r="B85" s="24" t="s">
        <v>225</v>
      </c>
      <c r="D85" s="24" t="s">
        <v>223</v>
      </c>
      <c r="E85" s="24" t="s">
        <v>53</v>
      </c>
      <c r="G85" s="24" t="s">
        <v>223</v>
      </c>
      <c r="H85" s="24" t="s">
        <v>54</v>
      </c>
    </row>
    <row r="86" spans="1:8" x14ac:dyDescent="0.3">
      <c r="A86" s="34">
        <v>0.1</v>
      </c>
      <c r="B86" s="24">
        <v>0.9</v>
      </c>
      <c r="D86" s="24">
        <v>0</v>
      </c>
      <c r="E86" s="35">
        <f>B86*B86</f>
        <v>0.81</v>
      </c>
      <c r="G86" s="24">
        <v>0</v>
      </c>
      <c r="H86" s="35">
        <f>18/20*17/19</f>
        <v>0.8052631578947369</v>
      </c>
    </row>
    <row r="87" spans="1:8" x14ac:dyDescent="0.3">
      <c r="D87" s="24">
        <v>1</v>
      </c>
      <c r="E87" s="35">
        <f>0.1*0.9*2</f>
        <v>0.18000000000000002</v>
      </c>
      <c r="G87" s="24">
        <v>1</v>
      </c>
      <c r="H87" s="35">
        <f>(18/20*2/19)+(2/20*18/19)</f>
        <v>0.18947368421052632</v>
      </c>
    </row>
    <row r="88" spans="1:8" x14ac:dyDescent="0.3">
      <c r="D88" s="24">
        <v>2</v>
      </c>
      <c r="E88" s="35">
        <f>A86*A86</f>
        <v>1.0000000000000002E-2</v>
      </c>
      <c r="G88" s="24">
        <v>2</v>
      </c>
      <c r="H88" s="35">
        <f>2/20*1/19</f>
        <v>5.263157894736842E-3</v>
      </c>
    </row>
    <row r="89" spans="1:8" x14ac:dyDescent="0.3">
      <c r="A89" s="24" t="s">
        <v>233</v>
      </c>
      <c r="B89" s="24" t="s">
        <v>234</v>
      </c>
      <c r="C89" s="24" t="s">
        <v>241</v>
      </c>
    </row>
    <row r="90" spans="1:8" ht="34.200000000000003" customHeight="1" x14ac:dyDescent="0.3">
      <c r="A90" s="24" t="s">
        <v>235</v>
      </c>
      <c r="B90" s="24" t="s">
        <v>236</v>
      </c>
      <c r="C90" s="24" t="s">
        <v>242</v>
      </c>
      <c r="E90" s="252" t="s">
        <v>243</v>
      </c>
      <c r="F90" s="252"/>
      <c r="G90" s="252" t="s">
        <v>244</v>
      </c>
      <c r="H90" s="252"/>
    </row>
    <row r="91" spans="1:8" x14ac:dyDescent="0.3">
      <c r="A91" s="24" t="s">
        <v>237</v>
      </c>
      <c r="C91" s="24" t="s">
        <v>238</v>
      </c>
    </row>
    <row r="92" spans="1:8" x14ac:dyDescent="0.3">
      <c r="A92" s="24" t="s">
        <v>239</v>
      </c>
      <c r="C92" s="24" t="s">
        <v>240</v>
      </c>
    </row>
    <row r="93" spans="1:8" ht="15.6" customHeight="1" x14ac:dyDescent="0.3">
      <c r="A93" s="252" t="s">
        <v>226</v>
      </c>
      <c r="B93" s="252"/>
      <c r="C93" s="252"/>
      <c r="D93" s="252"/>
      <c r="E93" s="252"/>
      <c r="F93" s="252"/>
      <c r="G93" s="252"/>
      <c r="H93" s="252"/>
    </row>
    <row r="94" spans="1:8" x14ac:dyDescent="0.3">
      <c r="A94" s="252"/>
      <c r="B94" s="252"/>
      <c r="C94" s="252"/>
      <c r="D94" s="252"/>
      <c r="E94" s="252"/>
      <c r="F94" s="252"/>
      <c r="G94" s="252"/>
      <c r="H94" s="252"/>
    </row>
    <row r="95" spans="1:8" x14ac:dyDescent="0.3">
      <c r="A95" s="252"/>
      <c r="B95" s="252"/>
      <c r="C95" s="252"/>
      <c r="D95" s="252"/>
      <c r="E95" s="252"/>
      <c r="F95" s="252"/>
      <c r="G95" s="252"/>
      <c r="H95" s="252"/>
    </row>
    <row r="96" spans="1:8" ht="16.2" thickBot="1" x14ac:dyDescent="0.35"/>
    <row r="97" spans="1:8" ht="16.2" thickBot="1" x14ac:dyDescent="0.35">
      <c r="A97" s="245" t="s">
        <v>19</v>
      </c>
      <c r="B97" s="246"/>
      <c r="C97" s="246"/>
      <c r="D97" s="246"/>
      <c r="E97" s="246"/>
      <c r="F97" s="246"/>
      <c r="G97" s="246"/>
      <c r="H97" s="247"/>
    </row>
    <row r="98" spans="1:8" ht="62.4" x14ac:dyDescent="0.3">
      <c r="A98" s="24" t="s">
        <v>227</v>
      </c>
      <c r="B98" s="24" t="s">
        <v>228</v>
      </c>
      <c r="C98" s="24" t="s">
        <v>229</v>
      </c>
      <c r="E98" s="24" t="s">
        <v>55</v>
      </c>
    </row>
    <row r="99" spans="1:8" ht="13.95" customHeight="1" x14ac:dyDescent="0.3">
      <c r="A99" s="24">
        <v>1</v>
      </c>
      <c r="B99" s="24">
        <v>0.4</v>
      </c>
      <c r="C99" s="24">
        <f>B99</f>
        <v>0.4</v>
      </c>
      <c r="E99" s="35">
        <f>1-C100</f>
        <v>0.36</v>
      </c>
      <c r="F99" s="256" t="s">
        <v>230</v>
      </c>
      <c r="G99" s="256"/>
      <c r="H99" s="256"/>
    </row>
    <row r="100" spans="1:8" x14ac:dyDescent="0.3">
      <c r="A100" s="24">
        <v>2</v>
      </c>
      <c r="B100" s="24">
        <f>(1-B99)*0.4</f>
        <v>0.24</v>
      </c>
      <c r="C100" s="24">
        <f t="shared" ref="C100:C115" si="2">B100+C99</f>
        <v>0.64</v>
      </c>
      <c r="F100" s="256"/>
      <c r="G100" s="256"/>
      <c r="H100" s="256"/>
    </row>
    <row r="101" spans="1:8" x14ac:dyDescent="0.3">
      <c r="A101" s="24">
        <v>3</v>
      </c>
      <c r="B101" s="24">
        <f>(1-C100)*0.4</f>
        <v>0.14399999999999999</v>
      </c>
      <c r="C101" s="24">
        <f t="shared" si="2"/>
        <v>0.78400000000000003</v>
      </c>
    </row>
    <row r="102" spans="1:8" x14ac:dyDescent="0.3">
      <c r="A102" s="24">
        <v>4</v>
      </c>
      <c r="B102" s="24">
        <f t="shared" ref="B102:B115" si="3">(1-C101)*0.4</f>
        <v>8.6399999999999991E-2</v>
      </c>
      <c r="C102" s="24">
        <f t="shared" si="2"/>
        <v>0.87040000000000006</v>
      </c>
    </row>
    <row r="103" spans="1:8" x14ac:dyDescent="0.3">
      <c r="A103" s="24">
        <v>5</v>
      </c>
      <c r="B103" s="24">
        <f t="shared" si="3"/>
        <v>5.1839999999999976E-2</v>
      </c>
      <c r="C103" s="24">
        <f t="shared" si="2"/>
        <v>0.92224000000000006</v>
      </c>
      <c r="E103" s="256" t="s">
        <v>53</v>
      </c>
      <c r="F103" s="256"/>
      <c r="G103" s="256" t="s">
        <v>54</v>
      </c>
      <c r="H103" s="256"/>
    </row>
    <row r="104" spans="1:8" ht="21" customHeight="1" x14ac:dyDescent="0.3">
      <c r="A104" s="24">
        <v>6</v>
      </c>
      <c r="B104" s="24">
        <f t="shared" si="3"/>
        <v>3.1103999999999979E-2</v>
      </c>
      <c r="C104" s="24">
        <f t="shared" si="2"/>
        <v>0.95334400000000008</v>
      </c>
      <c r="E104" s="252" t="s">
        <v>232</v>
      </c>
      <c r="F104" s="252"/>
      <c r="G104" s="252" t="s">
        <v>231</v>
      </c>
      <c r="H104" s="252"/>
    </row>
    <row r="105" spans="1:8" ht="18.600000000000001" customHeight="1" x14ac:dyDescent="0.3">
      <c r="A105" s="24">
        <v>7</v>
      </c>
      <c r="B105" s="24">
        <f t="shared" si="3"/>
        <v>1.8662399999999968E-2</v>
      </c>
      <c r="C105" s="24">
        <f t="shared" si="2"/>
        <v>0.97200640000000005</v>
      </c>
    </row>
    <row r="106" spans="1:8" x14ac:dyDescent="0.3">
      <c r="A106" s="24">
        <v>8</v>
      </c>
      <c r="B106" s="24">
        <f t="shared" si="3"/>
        <v>1.1197439999999982E-2</v>
      </c>
      <c r="C106" s="24">
        <f t="shared" si="2"/>
        <v>0.98320384000000005</v>
      </c>
    </row>
    <row r="107" spans="1:8" x14ac:dyDescent="0.3">
      <c r="A107" s="24">
        <v>9</v>
      </c>
      <c r="B107" s="24">
        <f t="shared" si="3"/>
        <v>6.7184639999999796E-3</v>
      </c>
      <c r="C107" s="24">
        <f t="shared" si="2"/>
        <v>0.98992230400000003</v>
      </c>
    </row>
    <row r="108" spans="1:8" x14ac:dyDescent="0.3">
      <c r="A108" s="24">
        <v>10</v>
      </c>
      <c r="B108" s="24">
        <f t="shared" si="3"/>
        <v>4.0310783999999876E-3</v>
      </c>
      <c r="C108" s="24">
        <f t="shared" si="2"/>
        <v>0.99395338239999997</v>
      </c>
    </row>
    <row r="109" spans="1:8" x14ac:dyDescent="0.3">
      <c r="A109" s="24">
        <v>11</v>
      </c>
      <c r="B109" s="24">
        <f t="shared" si="3"/>
        <v>2.4186470400000106E-3</v>
      </c>
      <c r="C109" s="24">
        <f t="shared" si="2"/>
        <v>0.99637202944000003</v>
      </c>
    </row>
    <row r="110" spans="1:8" x14ac:dyDescent="0.3">
      <c r="A110" s="24">
        <v>12</v>
      </c>
      <c r="B110" s="24">
        <f t="shared" si="3"/>
        <v>1.4511882239999887E-3</v>
      </c>
      <c r="C110" s="24">
        <f t="shared" si="2"/>
        <v>0.99782321766400006</v>
      </c>
    </row>
    <row r="111" spans="1:8" x14ac:dyDescent="0.3">
      <c r="A111" s="24">
        <v>13</v>
      </c>
      <c r="B111" s="24">
        <f t="shared" si="3"/>
        <v>8.7071293439997541E-4</v>
      </c>
      <c r="C111" s="24">
        <f t="shared" si="2"/>
        <v>0.99869393059840006</v>
      </c>
    </row>
    <row r="112" spans="1:8" x14ac:dyDescent="0.3">
      <c r="A112" s="24">
        <v>14</v>
      </c>
      <c r="B112" s="24">
        <f t="shared" si="3"/>
        <v>5.2242776063997636E-4</v>
      </c>
      <c r="C112" s="24">
        <f t="shared" si="2"/>
        <v>0.99921635835903999</v>
      </c>
    </row>
    <row r="113" spans="1:8" x14ac:dyDescent="0.3">
      <c r="A113" s="24">
        <v>15</v>
      </c>
      <c r="B113" s="24">
        <f t="shared" si="3"/>
        <v>3.1345665638400356E-4</v>
      </c>
      <c r="C113" s="24">
        <f t="shared" si="2"/>
        <v>0.99952981501542404</v>
      </c>
    </row>
    <row r="114" spans="1:8" x14ac:dyDescent="0.3">
      <c r="A114" s="24">
        <v>16</v>
      </c>
      <c r="B114" s="24">
        <f t="shared" si="3"/>
        <v>1.8807399383038439E-4</v>
      </c>
      <c r="C114" s="24">
        <f t="shared" si="2"/>
        <v>0.9997178890092544</v>
      </c>
    </row>
    <row r="115" spans="1:8" x14ac:dyDescent="0.3">
      <c r="A115" s="24">
        <v>17</v>
      </c>
      <c r="B115" s="24">
        <f t="shared" si="3"/>
        <v>1.1284439629823951E-4</v>
      </c>
      <c r="C115" s="24">
        <f t="shared" si="2"/>
        <v>0.99983073340555262</v>
      </c>
    </row>
    <row r="116" spans="1:8" ht="16.2" thickBot="1" x14ac:dyDescent="0.35"/>
    <row r="117" spans="1:8" ht="16.2" thickBot="1" x14ac:dyDescent="0.35">
      <c r="A117" s="245" t="s">
        <v>22</v>
      </c>
      <c r="B117" s="246"/>
      <c r="C117" s="246"/>
      <c r="D117" s="246"/>
      <c r="E117" s="246"/>
      <c r="F117" s="246"/>
      <c r="G117" s="246"/>
      <c r="H117" s="247"/>
    </row>
    <row r="119" spans="1:8" x14ac:dyDescent="0.3">
      <c r="A119" s="24">
        <v>0</v>
      </c>
      <c r="B119" s="24" t="s">
        <v>245</v>
      </c>
      <c r="C119" s="24">
        <v>18</v>
      </c>
      <c r="D119" s="24">
        <v>1</v>
      </c>
      <c r="E119" s="24">
        <f>C119*D119</f>
        <v>18</v>
      </c>
      <c r="F119" s="24">
        <f>C119*(D119-$E$122)^2</f>
        <v>19.944598337950136</v>
      </c>
    </row>
    <row r="120" spans="1:8" x14ac:dyDescent="0.3">
      <c r="A120" s="24">
        <v>0</v>
      </c>
      <c r="B120" s="24" t="s">
        <v>246</v>
      </c>
      <c r="C120" s="24">
        <v>20</v>
      </c>
      <c r="D120" s="24">
        <v>-1</v>
      </c>
      <c r="E120" s="24">
        <f>C120*D120</f>
        <v>-20</v>
      </c>
      <c r="F120" s="24">
        <f>C120*(D120-$E$122)^2</f>
        <v>17.950138504155127</v>
      </c>
    </row>
    <row r="121" spans="1:8" x14ac:dyDescent="0.3">
      <c r="A121" s="24">
        <v>1</v>
      </c>
      <c r="B121" s="24" t="s">
        <v>247</v>
      </c>
      <c r="C121" s="24">
        <f>SUM(C119:C120)</f>
        <v>38</v>
      </c>
      <c r="E121" s="24">
        <f>SUM(E119:E120)</f>
        <v>-2</v>
      </c>
      <c r="F121" s="24">
        <f>SUM(F119:F120)</f>
        <v>37.89473684210526</v>
      </c>
    </row>
    <row r="122" spans="1:8" x14ac:dyDescent="0.3">
      <c r="A122" s="24">
        <v>2</v>
      </c>
      <c r="B122" s="24" t="s">
        <v>248</v>
      </c>
      <c r="E122" s="35">
        <f>E121/C121</f>
        <v>-5.2631578947368418E-2</v>
      </c>
    </row>
    <row r="123" spans="1:8" x14ac:dyDescent="0.3">
      <c r="A123" s="24">
        <v>3</v>
      </c>
      <c r="B123" s="24" t="s">
        <v>249</v>
      </c>
      <c r="F123" s="24">
        <f>F121/C121</f>
        <v>0.99722991689750684</v>
      </c>
    </row>
    <row r="124" spans="1:8" x14ac:dyDescent="0.3">
      <c r="A124" s="24">
        <v>4</v>
      </c>
      <c r="B124" s="24" t="s">
        <v>250</v>
      </c>
      <c r="F124" s="35">
        <f>SQRT(F123)</f>
        <v>0.99861399794790917</v>
      </c>
    </row>
    <row r="125" spans="1:8" x14ac:dyDescent="0.3">
      <c r="A125" s="24">
        <v>5</v>
      </c>
    </row>
    <row r="126" spans="1:8" x14ac:dyDescent="0.3">
      <c r="A126" s="24">
        <v>6</v>
      </c>
    </row>
    <row r="127" spans="1:8" x14ac:dyDescent="0.3">
      <c r="A127" s="24">
        <v>7</v>
      </c>
    </row>
    <row r="128" spans="1:8" x14ac:dyDescent="0.3">
      <c r="A128" s="24">
        <v>8</v>
      </c>
    </row>
    <row r="129" spans="1:1" x14ac:dyDescent="0.3">
      <c r="A129" s="24">
        <v>9</v>
      </c>
    </row>
    <row r="130" spans="1:1" x14ac:dyDescent="0.3">
      <c r="A130" s="24">
        <v>10</v>
      </c>
    </row>
    <row r="131" spans="1:1" x14ac:dyDescent="0.3">
      <c r="A131" s="24">
        <v>11</v>
      </c>
    </row>
    <row r="132" spans="1:1" x14ac:dyDescent="0.3">
      <c r="A132" s="24">
        <v>12</v>
      </c>
    </row>
    <row r="133" spans="1:1" x14ac:dyDescent="0.3">
      <c r="A133" s="24">
        <v>13</v>
      </c>
    </row>
    <row r="134" spans="1:1" x14ac:dyDescent="0.3">
      <c r="A134" s="24">
        <v>14</v>
      </c>
    </row>
    <row r="135" spans="1:1" x14ac:dyDescent="0.3">
      <c r="A135" s="24">
        <v>15</v>
      </c>
    </row>
    <row r="136" spans="1:1" x14ac:dyDescent="0.3">
      <c r="A136" s="24">
        <v>16</v>
      </c>
    </row>
    <row r="137" spans="1:1" x14ac:dyDescent="0.3">
      <c r="A137" s="24">
        <v>17</v>
      </c>
    </row>
    <row r="138" spans="1:1" x14ac:dyDescent="0.3">
      <c r="A138" s="24">
        <v>18</v>
      </c>
    </row>
    <row r="139" spans="1:1" x14ac:dyDescent="0.3">
      <c r="A139" s="24">
        <v>19</v>
      </c>
    </row>
    <row r="140" spans="1:1" x14ac:dyDescent="0.3">
      <c r="A140" s="24">
        <v>20</v>
      </c>
    </row>
    <row r="141" spans="1:1" x14ac:dyDescent="0.3">
      <c r="A141" s="24">
        <v>21</v>
      </c>
    </row>
    <row r="142" spans="1:1" x14ac:dyDescent="0.3">
      <c r="A142" s="24">
        <v>22</v>
      </c>
    </row>
    <row r="143" spans="1:1" x14ac:dyDescent="0.3">
      <c r="A143" s="24">
        <v>23</v>
      </c>
    </row>
    <row r="144" spans="1:1" x14ac:dyDescent="0.3">
      <c r="A144" s="24">
        <v>24</v>
      </c>
    </row>
    <row r="145" spans="1:8" x14ac:dyDescent="0.3">
      <c r="A145" s="24">
        <v>25</v>
      </c>
    </row>
    <row r="146" spans="1:8" x14ac:dyDescent="0.3">
      <c r="A146" s="24">
        <v>26</v>
      </c>
    </row>
    <row r="147" spans="1:8" x14ac:dyDescent="0.3">
      <c r="A147" s="24">
        <v>27</v>
      </c>
    </row>
    <row r="148" spans="1:8" x14ac:dyDescent="0.3">
      <c r="A148" s="24">
        <v>28</v>
      </c>
    </row>
    <row r="149" spans="1:8" x14ac:dyDescent="0.3">
      <c r="A149" s="24">
        <v>29</v>
      </c>
    </row>
    <row r="150" spans="1:8" x14ac:dyDescent="0.3">
      <c r="A150" s="24">
        <v>30</v>
      </c>
    </row>
    <row r="151" spans="1:8" x14ac:dyDescent="0.3">
      <c r="A151" s="24">
        <v>31</v>
      </c>
    </row>
    <row r="152" spans="1:8" x14ac:dyDescent="0.3">
      <c r="A152" s="24">
        <v>32</v>
      </c>
    </row>
    <row r="153" spans="1:8" x14ac:dyDescent="0.3">
      <c r="A153" s="24">
        <v>33</v>
      </c>
    </row>
    <row r="154" spans="1:8" x14ac:dyDescent="0.3">
      <c r="A154" s="24">
        <v>34</v>
      </c>
    </row>
    <row r="155" spans="1:8" x14ac:dyDescent="0.3">
      <c r="A155" s="24">
        <v>35</v>
      </c>
    </row>
    <row r="156" spans="1:8" x14ac:dyDescent="0.3">
      <c r="A156" s="24">
        <v>36</v>
      </c>
    </row>
    <row r="157" spans="1:8" ht="16.2" thickBot="1" x14ac:dyDescent="0.35"/>
    <row r="158" spans="1:8" ht="16.2" thickBot="1" x14ac:dyDescent="0.35">
      <c r="A158" s="245" t="s">
        <v>25</v>
      </c>
      <c r="B158" s="246"/>
      <c r="C158" s="246"/>
      <c r="D158" s="246"/>
      <c r="E158" s="246"/>
      <c r="F158" s="246"/>
      <c r="G158" s="246"/>
      <c r="H158" s="247"/>
    </row>
    <row r="159" spans="1:8" x14ac:dyDescent="0.3">
      <c r="A159" s="248" t="s">
        <v>213</v>
      </c>
      <c r="B159" s="248"/>
      <c r="C159" s="248"/>
      <c r="D159" s="248" t="s">
        <v>214</v>
      </c>
      <c r="E159" s="248"/>
      <c r="F159" s="33" t="s">
        <v>115</v>
      </c>
      <c r="G159" s="1" t="s">
        <v>135</v>
      </c>
      <c r="H159" s="33"/>
    </row>
    <row r="160" spans="1:8" x14ac:dyDescent="0.3">
      <c r="A160" s="256">
        <v>0</v>
      </c>
      <c r="B160" s="256"/>
      <c r="C160" s="256"/>
      <c r="D160" s="256">
        <v>0.28000000000000003</v>
      </c>
      <c r="E160" s="256"/>
      <c r="F160" s="24">
        <f>A160*D160</f>
        <v>0</v>
      </c>
      <c r="G160" s="24">
        <f>D160*(A160-$F$166)^2</f>
        <v>0.43750000000000006</v>
      </c>
    </row>
    <row r="161" spans="1:8" x14ac:dyDescent="0.3">
      <c r="A161" s="256">
        <v>1</v>
      </c>
      <c r="B161" s="256"/>
      <c r="C161" s="256"/>
      <c r="D161" s="256">
        <v>0.36</v>
      </c>
      <c r="E161" s="256"/>
      <c r="F161" s="24">
        <f>A161*D161</f>
        <v>0.36</v>
      </c>
      <c r="G161" s="24">
        <f>D161*(A161-$F$166)^2</f>
        <v>2.2499999999999999E-2</v>
      </c>
    </row>
    <row r="162" spans="1:8" x14ac:dyDescent="0.3">
      <c r="A162" s="256">
        <v>2</v>
      </c>
      <c r="B162" s="256"/>
      <c r="C162" s="256"/>
      <c r="D162" s="256">
        <v>0.23</v>
      </c>
      <c r="E162" s="256"/>
      <c r="F162" s="24">
        <f>A162*D162</f>
        <v>0.46</v>
      </c>
      <c r="G162" s="24">
        <f>D162*(A162-$F$166)^2</f>
        <v>0.12937500000000002</v>
      </c>
    </row>
    <row r="163" spans="1:8" x14ac:dyDescent="0.3">
      <c r="A163" s="256">
        <v>3</v>
      </c>
      <c r="B163" s="256"/>
      <c r="C163" s="256"/>
      <c r="D163" s="256">
        <v>0.09</v>
      </c>
      <c r="E163" s="256"/>
      <c r="F163" s="24">
        <f>A163*D163</f>
        <v>0.27</v>
      </c>
      <c r="G163" s="24">
        <f>D163*(A163-$F$166)^2</f>
        <v>0.27562500000000001</v>
      </c>
    </row>
    <row r="164" spans="1:8" x14ac:dyDescent="0.3">
      <c r="A164" s="256">
        <v>4</v>
      </c>
      <c r="B164" s="256"/>
      <c r="C164" s="256"/>
      <c r="D164" s="256">
        <v>0.04</v>
      </c>
      <c r="E164" s="256"/>
      <c r="F164" s="24">
        <f>A164*D164</f>
        <v>0.16</v>
      </c>
      <c r="G164" s="24">
        <f>D164*(A164-$F$166)^2</f>
        <v>0.30249999999999999</v>
      </c>
    </row>
    <row r="165" spans="1:8" x14ac:dyDescent="0.3">
      <c r="A165" s="24" t="s">
        <v>98</v>
      </c>
      <c r="D165" s="256">
        <f>SUM(D160:E164)</f>
        <v>1</v>
      </c>
      <c r="E165" s="256"/>
      <c r="F165" s="24">
        <f>SUM(F160:F164)</f>
        <v>1.25</v>
      </c>
      <c r="G165" s="24">
        <f>SUM(G160:G164)</f>
        <v>1.1675</v>
      </c>
    </row>
    <row r="166" spans="1:8" x14ac:dyDescent="0.3">
      <c r="A166" s="24" t="s">
        <v>3</v>
      </c>
      <c r="F166" s="35">
        <f>F165/D165</f>
        <v>1.25</v>
      </c>
    </row>
    <row r="167" spans="1:8" x14ac:dyDescent="0.3">
      <c r="A167" s="24" t="s">
        <v>255</v>
      </c>
      <c r="G167" s="24">
        <f>G165/D165</f>
        <v>1.1675</v>
      </c>
    </row>
    <row r="168" spans="1:8" ht="31.2" x14ac:dyDescent="0.3">
      <c r="A168" s="24" t="s">
        <v>4</v>
      </c>
      <c r="G168" s="35">
        <f>SQRT(G167)</f>
        <v>1.0805091392487154</v>
      </c>
    </row>
    <row r="170" spans="1:8" x14ac:dyDescent="0.3">
      <c r="A170" s="257" t="s">
        <v>253</v>
      </c>
      <c r="B170" s="256" t="s">
        <v>254</v>
      </c>
      <c r="C170" s="256"/>
      <c r="D170" s="256"/>
      <c r="E170" s="256"/>
      <c r="F170" s="256"/>
      <c r="G170" s="256"/>
      <c r="H170" s="256"/>
    </row>
    <row r="171" spans="1:8" x14ac:dyDescent="0.3">
      <c r="A171" s="257"/>
      <c r="B171" s="256"/>
      <c r="C171" s="256"/>
      <c r="D171" s="256"/>
      <c r="E171" s="256"/>
      <c r="F171" s="256"/>
      <c r="G171" s="256"/>
      <c r="H171" s="256"/>
    </row>
    <row r="172" spans="1:8" x14ac:dyDescent="0.3">
      <c r="A172" s="257"/>
      <c r="B172" s="256"/>
      <c r="C172" s="256"/>
      <c r="D172" s="256"/>
      <c r="E172" s="256"/>
      <c r="F172" s="256"/>
      <c r="G172" s="256"/>
      <c r="H172" s="256"/>
    </row>
    <row r="173" spans="1:8" ht="16.2" thickBot="1" x14ac:dyDescent="0.35"/>
    <row r="174" spans="1:8" ht="16.2" thickBot="1" x14ac:dyDescent="0.35">
      <c r="A174" s="245" t="s">
        <v>29</v>
      </c>
      <c r="B174" s="246"/>
      <c r="C174" s="246"/>
      <c r="D174" s="246"/>
      <c r="E174" s="246"/>
      <c r="F174" s="246"/>
      <c r="G174" s="246"/>
      <c r="H174" s="247"/>
    </row>
    <row r="175" spans="1:8" ht="46.8" x14ac:dyDescent="0.3">
      <c r="A175" s="24" t="s">
        <v>216</v>
      </c>
      <c r="B175" s="24" t="s">
        <v>217</v>
      </c>
      <c r="C175" s="24" t="s">
        <v>115</v>
      </c>
      <c r="D175" s="1" t="s">
        <v>135</v>
      </c>
    </row>
    <row r="176" spans="1:8" x14ac:dyDescent="0.3">
      <c r="A176" s="24">
        <v>0</v>
      </c>
      <c r="B176" s="24">
        <v>0.1</v>
      </c>
      <c r="C176" s="24">
        <f t="shared" ref="C176:C181" si="4">A176*B176</f>
        <v>0</v>
      </c>
      <c r="D176" s="24">
        <f t="shared" ref="D176:D181" si="5">B176*(A176-$C$183)^2</f>
        <v>0.60025000000000017</v>
      </c>
    </row>
    <row r="177" spans="1:8" x14ac:dyDescent="0.3">
      <c r="A177" s="24">
        <v>1</v>
      </c>
      <c r="B177" s="24">
        <v>0.14000000000000001</v>
      </c>
      <c r="C177" s="24">
        <f t="shared" si="4"/>
        <v>0.14000000000000001</v>
      </c>
      <c r="D177" s="24">
        <f t="shared" si="5"/>
        <v>0.29435000000000011</v>
      </c>
    </row>
    <row r="178" spans="1:8" x14ac:dyDescent="0.3">
      <c r="A178" s="24">
        <v>2</v>
      </c>
      <c r="B178" s="24">
        <v>0.26</v>
      </c>
      <c r="C178" s="24">
        <f t="shared" si="4"/>
        <v>0.52</v>
      </c>
      <c r="D178" s="24">
        <f t="shared" si="5"/>
        <v>5.2650000000000044E-2</v>
      </c>
    </row>
    <row r="179" spans="1:8" x14ac:dyDescent="0.3">
      <c r="A179" s="24">
        <v>3</v>
      </c>
      <c r="B179" s="24">
        <v>0.28000000000000003</v>
      </c>
      <c r="C179" s="24">
        <f t="shared" si="4"/>
        <v>0.84000000000000008</v>
      </c>
      <c r="D179" s="24">
        <f t="shared" si="5"/>
        <v>8.4699999999999956E-2</v>
      </c>
    </row>
    <row r="180" spans="1:8" x14ac:dyDescent="0.3">
      <c r="A180" s="24">
        <v>4</v>
      </c>
      <c r="B180" s="24">
        <v>0.15</v>
      </c>
      <c r="C180" s="24">
        <f t="shared" si="4"/>
        <v>0.6</v>
      </c>
      <c r="D180" s="24">
        <f t="shared" si="5"/>
        <v>0.36037499999999989</v>
      </c>
    </row>
    <row r="181" spans="1:8" x14ac:dyDescent="0.3">
      <c r="A181" s="24">
        <v>5</v>
      </c>
      <c r="B181" s="24">
        <v>7.0000000000000007E-2</v>
      </c>
      <c r="C181" s="24">
        <f t="shared" si="4"/>
        <v>0.35000000000000003</v>
      </c>
      <c r="D181" s="24">
        <f t="shared" si="5"/>
        <v>0.455175</v>
      </c>
    </row>
    <row r="182" spans="1:8" x14ac:dyDescent="0.3">
      <c r="A182" s="24" t="s">
        <v>98</v>
      </c>
      <c r="B182" s="24">
        <f>SUM(B176:B181)</f>
        <v>1</v>
      </c>
      <c r="C182" s="24">
        <f>SUM(C176:C181)</f>
        <v>2.4500000000000002</v>
      </c>
      <c r="D182" s="24">
        <f>SUM(D176:D181)</f>
        <v>1.8475000000000001</v>
      </c>
    </row>
    <row r="183" spans="1:8" x14ac:dyDescent="0.3">
      <c r="A183" s="24" t="s">
        <v>3</v>
      </c>
      <c r="C183" s="35">
        <f>C182/B182</f>
        <v>2.4500000000000002</v>
      </c>
    </row>
    <row r="184" spans="1:8" x14ac:dyDescent="0.3">
      <c r="A184" s="24" t="s">
        <v>255</v>
      </c>
      <c r="D184" s="24">
        <f>D182/B182</f>
        <v>1.8475000000000001</v>
      </c>
    </row>
    <row r="185" spans="1:8" ht="31.2" x14ac:dyDescent="0.3">
      <c r="A185" s="24" t="s">
        <v>4</v>
      </c>
      <c r="D185" s="35">
        <f>SQRT(D184)</f>
        <v>1.3592277219068187</v>
      </c>
    </row>
    <row r="186" spans="1:8" ht="16.2" thickBot="1" x14ac:dyDescent="0.35"/>
    <row r="187" spans="1:8" ht="16.2" thickBot="1" x14ac:dyDescent="0.35">
      <c r="A187" s="245" t="s">
        <v>34</v>
      </c>
      <c r="B187" s="246"/>
      <c r="C187" s="246"/>
      <c r="D187" s="246"/>
      <c r="E187" s="246"/>
      <c r="F187" s="246"/>
      <c r="G187" s="246"/>
      <c r="H187" s="247"/>
    </row>
    <row r="188" spans="1:8" x14ac:dyDescent="0.3">
      <c r="A188" s="248" t="s">
        <v>53</v>
      </c>
      <c r="B188" s="248"/>
      <c r="C188" s="248"/>
      <c r="D188" s="248"/>
      <c r="E188" s="248" t="s">
        <v>54</v>
      </c>
      <c r="F188" s="248"/>
      <c r="G188" s="248"/>
      <c r="H188" s="248"/>
    </row>
    <row r="189" spans="1:8" ht="36" customHeight="1" x14ac:dyDescent="0.3">
      <c r="A189" s="24" t="s">
        <v>218</v>
      </c>
      <c r="B189" s="24" t="s">
        <v>219</v>
      </c>
      <c r="C189" s="24" t="s">
        <v>115</v>
      </c>
      <c r="D189" s="1" t="s">
        <v>135</v>
      </c>
      <c r="F189" s="24" t="s">
        <v>3</v>
      </c>
    </row>
    <row r="190" spans="1:8" x14ac:dyDescent="0.3">
      <c r="A190" s="24">
        <v>47</v>
      </c>
      <c r="B190" s="24">
        <v>0.04</v>
      </c>
      <c r="C190" s="24">
        <f>A190*B190</f>
        <v>1.8800000000000001</v>
      </c>
      <c r="D190" s="24">
        <f>B190*(A190-$C$198)^2</f>
        <v>0.33640000000000297</v>
      </c>
      <c r="E190" s="24" t="s">
        <v>256</v>
      </c>
      <c r="F190" s="24">
        <f>(16+2*C198)/100</f>
        <v>1.1580000000000004</v>
      </c>
      <c r="G190" s="35">
        <f>D200*2</f>
        <v>2.7928480087537886</v>
      </c>
    </row>
    <row r="191" spans="1:8" x14ac:dyDescent="0.3">
      <c r="A191" s="24">
        <v>48</v>
      </c>
      <c r="B191" s="24">
        <v>0.13</v>
      </c>
      <c r="C191" s="24">
        <f t="shared" ref="C191:C196" si="6">A191*B191</f>
        <v>6.24</v>
      </c>
      <c r="D191" s="24">
        <f t="shared" ref="D191:D196" si="7">B191*(A191-$C$198)^2</f>
        <v>0.46930000000000632</v>
      </c>
      <c r="E191" s="24" t="s">
        <v>257</v>
      </c>
      <c r="F191" s="24">
        <f>1.5</f>
        <v>1.5</v>
      </c>
    </row>
    <row r="192" spans="1:8" x14ac:dyDescent="0.3">
      <c r="A192" s="24">
        <v>49</v>
      </c>
      <c r="B192" s="24">
        <v>0.21</v>
      </c>
      <c r="C192" s="24">
        <f t="shared" si="6"/>
        <v>10.29</v>
      </c>
      <c r="D192" s="24">
        <f t="shared" si="7"/>
        <v>0.17010000000000483</v>
      </c>
      <c r="E192" s="24" t="s">
        <v>258</v>
      </c>
      <c r="F192" s="35">
        <f>F191-F190</f>
        <v>0.34199999999999964</v>
      </c>
    </row>
    <row r="193" spans="1:8" x14ac:dyDescent="0.3">
      <c r="A193" s="24">
        <v>50</v>
      </c>
      <c r="B193" s="24">
        <v>0.28999999999999998</v>
      </c>
      <c r="C193" s="24">
        <f t="shared" si="6"/>
        <v>14.499999999999998</v>
      </c>
      <c r="D193" s="24">
        <f t="shared" si="7"/>
        <v>2.8999999999992578E-3</v>
      </c>
    </row>
    <row r="194" spans="1:8" x14ac:dyDescent="0.3">
      <c r="A194" s="24">
        <v>51</v>
      </c>
      <c r="B194" s="24">
        <v>0.2</v>
      </c>
      <c r="C194" s="24">
        <f t="shared" si="6"/>
        <v>10.200000000000001</v>
      </c>
      <c r="D194" s="24">
        <f t="shared" si="7"/>
        <v>0.24199999999999436</v>
      </c>
    </row>
    <row r="195" spans="1:8" x14ac:dyDescent="0.3">
      <c r="A195" s="24">
        <v>52</v>
      </c>
      <c r="B195" s="24">
        <v>0.1</v>
      </c>
      <c r="C195" s="24">
        <f t="shared" si="6"/>
        <v>5.2</v>
      </c>
      <c r="D195" s="24">
        <f t="shared" si="7"/>
        <v>0.44099999999999462</v>
      </c>
    </row>
    <row r="196" spans="1:8" x14ac:dyDescent="0.3">
      <c r="A196" s="24">
        <v>53</v>
      </c>
      <c r="B196" s="24">
        <v>0.03</v>
      </c>
      <c r="C196" s="24">
        <f t="shared" si="6"/>
        <v>1.5899999999999999</v>
      </c>
      <c r="D196" s="24">
        <f t="shared" si="7"/>
        <v>0.28829999999999761</v>
      </c>
    </row>
    <row r="197" spans="1:8" x14ac:dyDescent="0.3">
      <c r="A197" s="24" t="s">
        <v>98</v>
      </c>
      <c r="B197" s="24">
        <f>SUM(B190:B196)</f>
        <v>0.99999999999999989</v>
      </c>
      <c r="C197" s="24">
        <f>SUM(C190:C196)</f>
        <v>49.900000000000006</v>
      </c>
      <c r="D197" s="24">
        <f>SUM(D190:D196)</f>
        <v>1.95</v>
      </c>
    </row>
    <row r="198" spans="1:8" x14ac:dyDescent="0.3">
      <c r="A198" s="24" t="s">
        <v>3</v>
      </c>
      <c r="C198" s="35">
        <f>C197/B197</f>
        <v>49.900000000000013</v>
      </c>
    </row>
    <row r="199" spans="1:8" x14ac:dyDescent="0.3">
      <c r="A199" s="24" t="s">
        <v>255</v>
      </c>
      <c r="D199" s="24">
        <f>D197/B197</f>
        <v>1.9500000000000002</v>
      </c>
    </row>
    <row r="200" spans="1:8" ht="31.2" x14ac:dyDescent="0.3">
      <c r="A200" s="24" t="s">
        <v>4</v>
      </c>
      <c r="D200" s="35">
        <f>SQRT(D199)</f>
        <v>1.3964240043768943</v>
      </c>
    </row>
    <row r="201" spans="1:8" ht="16.2" thickBot="1" x14ac:dyDescent="0.35"/>
    <row r="202" spans="1:8" ht="16.2" thickBot="1" x14ac:dyDescent="0.35">
      <c r="A202" s="245" t="s">
        <v>42</v>
      </c>
      <c r="B202" s="246"/>
      <c r="C202" s="246"/>
      <c r="D202" s="246"/>
      <c r="E202" s="246"/>
      <c r="F202" s="246"/>
      <c r="G202" s="246"/>
      <c r="H202" s="247"/>
    </row>
    <row r="203" spans="1:8" x14ac:dyDescent="0.3">
      <c r="A203" s="258" t="s">
        <v>53</v>
      </c>
      <c r="B203" s="258"/>
      <c r="C203" s="258"/>
      <c r="D203" s="258"/>
      <c r="E203" s="248" t="s">
        <v>54</v>
      </c>
      <c r="F203" s="248"/>
      <c r="G203" s="248"/>
    </row>
    <row r="204" spans="1:8" ht="31.2" x14ac:dyDescent="0.3">
      <c r="A204" s="24" t="s">
        <v>221</v>
      </c>
      <c r="B204" s="24" t="s">
        <v>217</v>
      </c>
      <c r="C204" s="24" t="s">
        <v>115</v>
      </c>
      <c r="D204" s="1" t="s">
        <v>135</v>
      </c>
      <c r="E204" s="35">
        <f>C214*50</f>
        <v>149.50000000000003</v>
      </c>
      <c r="F204" s="35">
        <f>D216*50</f>
        <v>70.531907673052487</v>
      </c>
    </row>
    <row r="205" spans="1:8" x14ac:dyDescent="0.3">
      <c r="A205" s="24">
        <v>0</v>
      </c>
      <c r="B205" s="24">
        <v>0.02</v>
      </c>
      <c r="C205" s="24">
        <f>A205*B205</f>
        <v>0</v>
      </c>
      <c r="D205" s="24">
        <f>B205*(A205-$C$214)^2</f>
        <v>0.1788020000000001</v>
      </c>
    </row>
    <row r="206" spans="1:8" x14ac:dyDescent="0.3">
      <c r="A206" s="24">
        <v>1</v>
      </c>
      <c r="B206" s="24">
        <v>0.12</v>
      </c>
      <c r="C206" s="24">
        <f t="shared" ref="C206:C212" si="8">A206*B206</f>
        <v>0.12</v>
      </c>
      <c r="D206" s="24">
        <f t="shared" ref="D206:D212" si="9">B206*(A206-$C$214)^2</f>
        <v>0.47521200000000025</v>
      </c>
    </row>
    <row r="207" spans="1:8" x14ac:dyDescent="0.3">
      <c r="A207" s="24">
        <v>2</v>
      </c>
      <c r="B207" s="24">
        <v>0.23</v>
      </c>
      <c r="C207" s="24">
        <f t="shared" si="8"/>
        <v>0.46</v>
      </c>
      <c r="D207" s="24">
        <f t="shared" si="9"/>
        <v>0.22542300000000032</v>
      </c>
    </row>
    <row r="208" spans="1:8" x14ac:dyDescent="0.3">
      <c r="A208" s="24">
        <v>3</v>
      </c>
      <c r="B208" s="24">
        <v>0.31</v>
      </c>
      <c r="C208" s="24">
        <f t="shared" si="8"/>
        <v>0.92999999999999994</v>
      </c>
      <c r="D208" s="24">
        <f t="shared" si="9"/>
        <v>3.0999999999995929E-5</v>
      </c>
    </row>
    <row r="209" spans="1:9" x14ac:dyDescent="0.3">
      <c r="A209" s="24">
        <v>4</v>
      </c>
      <c r="B209" s="24">
        <v>0.19</v>
      </c>
      <c r="C209" s="24">
        <f t="shared" si="8"/>
        <v>0.76</v>
      </c>
      <c r="D209" s="24">
        <f t="shared" si="9"/>
        <v>0.19381899999999974</v>
      </c>
    </row>
    <row r="210" spans="1:9" x14ac:dyDescent="0.3">
      <c r="A210" s="24">
        <v>5</v>
      </c>
      <c r="B210" s="24">
        <v>0.08</v>
      </c>
      <c r="C210" s="24">
        <f t="shared" si="8"/>
        <v>0.4</v>
      </c>
      <c r="D210" s="24">
        <f t="shared" si="9"/>
        <v>0.32320799999999977</v>
      </c>
    </row>
    <row r="211" spans="1:9" x14ac:dyDescent="0.3">
      <c r="A211" s="24">
        <v>6</v>
      </c>
      <c r="B211" s="24">
        <v>0.03</v>
      </c>
      <c r="C211" s="24">
        <f t="shared" si="8"/>
        <v>0.18</v>
      </c>
      <c r="D211" s="24">
        <f t="shared" si="9"/>
        <v>0.27180299999999991</v>
      </c>
    </row>
    <row r="212" spans="1:9" x14ac:dyDescent="0.3">
      <c r="A212" s="24">
        <v>7</v>
      </c>
      <c r="B212" s="24">
        <v>0.02</v>
      </c>
      <c r="C212" s="24">
        <f t="shared" si="8"/>
        <v>0.14000000000000001</v>
      </c>
      <c r="D212" s="24">
        <f t="shared" si="9"/>
        <v>0.32160199999999994</v>
      </c>
    </row>
    <row r="213" spans="1:9" x14ac:dyDescent="0.3">
      <c r="A213" s="24" t="s">
        <v>98</v>
      </c>
      <c r="B213" s="24">
        <f>SUM(B205:B212)</f>
        <v>0.99999999999999989</v>
      </c>
      <c r="C213" s="24">
        <f>SUM(C205:C212)</f>
        <v>2.99</v>
      </c>
      <c r="D213" s="24">
        <f>SUM(D205:D212)</f>
        <v>1.9899</v>
      </c>
    </row>
    <row r="214" spans="1:9" x14ac:dyDescent="0.3">
      <c r="A214" s="24" t="s">
        <v>3</v>
      </c>
      <c r="C214" s="35">
        <f>C213/B213</f>
        <v>2.9900000000000007</v>
      </c>
    </row>
    <row r="215" spans="1:9" x14ac:dyDescent="0.3">
      <c r="A215" s="24" t="s">
        <v>255</v>
      </c>
      <c r="D215" s="24">
        <f>D213/B213</f>
        <v>1.9899000000000002</v>
      </c>
    </row>
    <row r="216" spans="1:9" ht="31.2" x14ac:dyDescent="0.3">
      <c r="A216" s="24" t="s">
        <v>4</v>
      </c>
      <c r="D216" s="35">
        <f>SQRT(D215)</f>
        <v>1.4106381534610497</v>
      </c>
    </row>
    <row r="219" spans="1:9" ht="16.2" thickBot="1" x14ac:dyDescent="0.35">
      <c r="I219" s="25"/>
    </row>
    <row r="220" spans="1:9" ht="16.2" thickBot="1" x14ac:dyDescent="0.35">
      <c r="A220" s="245" t="s">
        <v>45</v>
      </c>
      <c r="B220" s="246"/>
      <c r="C220" s="246"/>
      <c r="D220" s="246"/>
      <c r="E220" s="246"/>
      <c r="F220" s="246"/>
      <c r="G220" s="246"/>
      <c r="H220" s="247"/>
    </row>
    <row r="221" spans="1:9" x14ac:dyDescent="0.3">
      <c r="A221" s="248" t="s">
        <v>53</v>
      </c>
      <c r="B221" s="25" t="s">
        <v>251</v>
      </c>
      <c r="C221" s="25" t="s">
        <v>252</v>
      </c>
      <c r="D221" s="24" t="s">
        <v>115</v>
      </c>
      <c r="E221" s="1" t="s">
        <v>135</v>
      </c>
      <c r="F221" s="25"/>
      <c r="G221" s="25"/>
      <c r="H221" s="25"/>
    </row>
    <row r="222" spans="1:9" x14ac:dyDescent="0.3">
      <c r="A222" s="256"/>
      <c r="B222" s="24">
        <v>0</v>
      </c>
      <c r="C222" s="24">
        <v>0.81</v>
      </c>
      <c r="D222" s="24">
        <f>B222*C222</f>
        <v>0</v>
      </c>
      <c r="E222" s="24">
        <f>C222*(B222-$D$226)^2</f>
        <v>3.2400000000000005E-2</v>
      </c>
    </row>
    <row r="223" spans="1:9" x14ac:dyDescent="0.3">
      <c r="A223" s="256"/>
      <c r="B223" s="24">
        <v>1</v>
      </c>
      <c r="C223" s="24">
        <v>0.18000000000000002</v>
      </c>
      <c r="D223" s="24">
        <f t="shared" ref="D223:D233" si="10">B223*C223</f>
        <v>0.18000000000000002</v>
      </c>
      <c r="E223" s="24">
        <f>C223*(B223-$D$226)^2</f>
        <v>0.11520000000000004</v>
      </c>
    </row>
    <row r="224" spans="1:9" x14ac:dyDescent="0.3">
      <c r="A224" s="256"/>
      <c r="B224" s="24">
        <v>2</v>
      </c>
      <c r="C224" s="24">
        <v>1.0000000000000002E-2</v>
      </c>
      <c r="D224" s="24">
        <f t="shared" si="10"/>
        <v>2.0000000000000004E-2</v>
      </c>
      <c r="E224" s="24">
        <f>C224*(B224-$D$226)^2</f>
        <v>3.2400000000000005E-2</v>
      </c>
    </row>
    <row r="225" spans="1:8" x14ac:dyDescent="0.3">
      <c r="A225" s="256"/>
      <c r="B225" s="24" t="s">
        <v>247</v>
      </c>
      <c r="C225" s="24">
        <f>SUM(C222:C224)</f>
        <v>1</v>
      </c>
      <c r="D225" s="24">
        <f>SUM(D222:D224)</f>
        <v>0.2</v>
      </c>
      <c r="E225" s="24">
        <f>SUM(E222:E224)</f>
        <v>0.18000000000000005</v>
      </c>
    </row>
    <row r="226" spans="1:8" x14ac:dyDescent="0.3">
      <c r="A226" s="256"/>
      <c r="B226" s="24" t="s">
        <v>248</v>
      </c>
      <c r="D226" s="35">
        <f>D225/C225</f>
        <v>0.2</v>
      </c>
    </row>
    <row r="227" spans="1:8" x14ac:dyDescent="0.3">
      <c r="A227" s="256"/>
      <c r="B227" s="24" t="s">
        <v>249</v>
      </c>
      <c r="E227" s="24">
        <f>E225/C225</f>
        <v>0.18000000000000005</v>
      </c>
    </row>
    <row r="228" spans="1:8" x14ac:dyDescent="0.3">
      <c r="A228" s="256"/>
      <c r="B228" s="24" t="s">
        <v>250</v>
      </c>
      <c r="E228" s="35">
        <f>SQRT(E227)</f>
        <v>0.42426406871192857</v>
      </c>
    </row>
    <row r="230" spans="1:8" x14ac:dyDescent="0.3">
      <c r="A230" s="256" t="s">
        <v>54</v>
      </c>
      <c r="B230" s="25" t="s">
        <v>251</v>
      </c>
      <c r="C230" s="25" t="s">
        <v>252</v>
      </c>
    </row>
    <row r="231" spans="1:8" x14ac:dyDescent="0.3">
      <c r="A231" s="256"/>
      <c r="B231" s="24">
        <v>0</v>
      </c>
      <c r="C231" s="24">
        <v>0.8052631578947369</v>
      </c>
      <c r="D231" s="24">
        <f t="shared" si="10"/>
        <v>0</v>
      </c>
      <c r="E231" s="24">
        <f>C231*(B231-$D$226)^2</f>
        <v>3.2210526315789481E-2</v>
      </c>
    </row>
    <row r="232" spans="1:8" x14ac:dyDescent="0.3">
      <c r="A232" s="256"/>
      <c r="B232" s="24">
        <v>1</v>
      </c>
      <c r="C232" s="24">
        <v>0.18947368421052632</v>
      </c>
      <c r="D232" s="24">
        <f t="shared" si="10"/>
        <v>0.18947368421052632</v>
      </c>
      <c r="E232" s="24">
        <f>C232*(B232-$D$226)^2</f>
        <v>0.12126315789473686</v>
      </c>
    </row>
    <row r="233" spans="1:8" x14ac:dyDescent="0.3">
      <c r="A233" s="256"/>
      <c r="B233" s="24">
        <v>2</v>
      </c>
      <c r="C233" s="24">
        <v>5.263157894736842E-3</v>
      </c>
      <c r="D233" s="24">
        <f t="shared" si="10"/>
        <v>1.0526315789473684E-2</v>
      </c>
      <c r="E233" s="24">
        <f>C233*(B233-$D$226)^2</f>
        <v>1.7052631578947368E-2</v>
      </c>
    </row>
    <row r="234" spans="1:8" x14ac:dyDescent="0.3">
      <c r="A234" s="256"/>
      <c r="B234" s="24" t="s">
        <v>247</v>
      </c>
      <c r="C234" s="24">
        <f>SUM(C231:C233)</f>
        <v>1</v>
      </c>
      <c r="D234" s="24">
        <f>SUM(D231:D233)</f>
        <v>0.2</v>
      </c>
      <c r="E234" s="24">
        <f>SUM(E231:E233)</f>
        <v>0.17052631578947372</v>
      </c>
    </row>
    <row r="235" spans="1:8" x14ac:dyDescent="0.3">
      <c r="A235" s="256"/>
      <c r="B235" s="24" t="s">
        <v>248</v>
      </c>
      <c r="D235" s="35">
        <f>D234/C234</f>
        <v>0.2</v>
      </c>
    </row>
    <row r="236" spans="1:8" x14ac:dyDescent="0.3">
      <c r="A236" s="256"/>
      <c r="B236" s="24" t="s">
        <v>249</v>
      </c>
      <c r="E236" s="24">
        <f>E234/C234</f>
        <v>0.17052631578947372</v>
      </c>
    </row>
    <row r="237" spans="1:8" ht="15.6" customHeight="1" x14ac:dyDescent="0.3">
      <c r="A237" s="256"/>
      <c r="B237" s="24" t="s">
        <v>250</v>
      </c>
      <c r="E237" s="35">
        <f>SQRT(E236)</f>
        <v>0.41294832096701123</v>
      </c>
    </row>
    <row r="239" spans="1:8" ht="34.950000000000003" customHeight="1" x14ac:dyDescent="0.3">
      <c r="A239" s="37" t="s">
        <v>253</v>
      </c>
      <c r="B239" s="256" t="s">
        <v>254</v>
      </c>
      <c r="C239" s="256"/>
      <c r="D239" s="256"/>
      <c r="E239" s="256"/>
      <c r="F239" s="256"/>
      <c r="G239" s="256"/>
      <c r="H239" s="256"/>
    </row>
    <row r="240" spans="1:8" ht="16.2" thickBot="1" x14ac:dyDescent="0.35">
      <c r="A240" s="37"/>
    </row>
    <row r="241" spans="1:8" ht="16.2" thickBot="1" x14ac:dyDescent="0.35">
      <c r="A241" s="254" t="s">
        <v>46</v>
      </c>
      <c r="B241" s="253"/>
      <c r="C241" s="253"/>
      <c r="D241" s="253"/>
      <c r="E241" s="253"/>
      <c r="F241" s="253"/>
      <c r="G241" s="246"/>
      <c r="H241" s="247"/>
    </row>
    <row r="242" spans="1:8" x14ac:dyDescent="0.3">
      <c r="A242" s="255" t="s">
        <v>53</v>
      </c>
      <c r="B242" s="255"/>
      <c r="C242" s="255"/>
      <c r="D242" s="255" t="s">
        <v>54</v>
      </c>
      <c r="E242" s="255"/>
      <c r="F242" s="255"/>
      <c r="G242" s="36"/>
    </row>
    <row r="243" spans="1:8" ht="17.399999999999999" customHeight="1" x14ac:dyDescent="0.3">
      <c r="A243" s="25" t="s">
        <v>264</v>
      </c>
      <c r="B243" s="25" t="s">
        <v>260</v>
      </c>
      <c r="C243" s="25" t="s">
        <v>217</v>
      </c>
      <c r="D243" s="25" t="s">
        <v>264</v>
      </c>
      <c r="E243" s="25" t="s">
        <v>260</v>
      </c>
      <c r="F243" s="25" t="s">
        <v>217</v>
      </c>
    </row>
    <row r="244" spans="1:8" x14ac:dyDescent="0.3">
      <c r="A244" s="24" t="s">
        <v>261</v>
      </c>
      <c r="B244" s="24">
        <v>0</v>
      </c>
      <c r="C244" s="24">
        <f>0.25</f>
        <v>0.25</v>
      </c>
      <c r="D244" s="24" t="s">
        <v>265</v>
      </c>
      <c r="E244" s="24">
        <v>0</v>
      </c>
      <c r="F244" s="24">
        <f>0.25*0.25</f>
        <v>6.25E-2</v>
      </c>
    </row>
    <row r="245" spans="1:8" x14ac:dyDescent="0.3">
      <c r="A245" s="24" t="s">
        <v>262</v>
      </c>
      <c r="B245" s="24">
        <v>1</v>
      </c>
      <c r="C245" s="24">
        <f>0.25*0.75</f>
        <v>0.1875</v>
      </c>
      <c r="D245" s="24" t="s">
        <v>262</v>
      </c>
      <c r="E245" s="24">
        <v>1</v>
      </c>
      <c r="F245" s="24">
        <f>0.25*0.75+0.75*0.25</f>
        <v>0.375</v>
      </c>
    </row>
    <row r="246" spans="1:8" x14ac:dyDescent="0.3">
      <c r="A246" s="24" t="s">
        <v>263</v>
      </c>
      <c r="B246" s="24">
        <v>2</v>
      </c>
      <c r="C246" s="24">
        <f>0.75*0.75</f>
        <v>0.5625</v>
      </c>
      <c r="D246" s="24" t="s">
        <v>263</v>
      </c>
      <c r="E246" s="24">
        <v>2</v>
      </c>
      <c r="F246" s="24">
        <f>0.75*0.75</f>
        <v>0.5625</v>
      </c>
    </row>
    <row r="247" spans="1:8" x14ac:dyDescent="0.3">
      <c r="A247" s="24" t="s">
        <v>98</v>
      </c>
      <c r="C247" s="24">
        <f>SUM(C244:C246)</f>
        <v>1</v>
      </c>
      <c r="D247" s="24" t="s">
        <v>98</v>
      </c>
      <c r="F247" s="24">
        <f>SUM(F244:F246)</f>
        <v>1</v>
      </c>
    </row>
    <row r="248" spans="1:8" ht="16.2" thickBot="1" x14ac:dyDescent="0.35"/>
    <row r="249" spans="1:8" ht="16.2" thickBot="1" x14ac:dyDescent="0.35">
      <c r="A249" s="245" t="s">
        <v>47</v>
      </c>
      <c r="B249" s="246"/>
      <c r="C249" s="246"/>
      <c r="D249" s="246"/>
      <c r="E249" s="246"/>
      <c r="F249" s="246"/>
      <c r="G249" s="246"/>
      <c r="H249" s="247"/>
    </row>
    <row r="250" spans="1:8" ht="31.2" x14ac:dyDescent="0.3">
      <c r="A250" s="24" t="s">
        <v>266</v>
      </c>
      <c r="B250" s="24" t="s">
        <v>217</v>
      </c>
      <c r="C250" s="24" t="s">
        <v>115</v>
      </c>
      <c r="D250" s="1" t="s">
        <v>135</v>
      </c>
    </row>
    <row r="251" spans="1:8" x14ac:dyDescent="0.3">
      <c r="A251" s="24">
        <v>0</v>
      </c>
      <c r="B251" s="24">
        <v>0.1</v>
      </c>
      <c r="C251" s="24">
        <f t="shared" ref="C251:C256" si="11">A251*B251</f>
        <v>0</v>
      </c>
      <c r="D251" s="24">
        <f t="shared" ref="D251:D256" si="12">B251*(A251-$C$258)^2</f>
        <v>0.68644000000000027</v>
      </c>
    </row>
    <row r="252" spans="1:8" x14ac:dyDescent="0.3">
      <c r="A252" s="24">
        <v>1</v>
      </c>
      <c r="B252" s="24">
        <v>0.15</v>
      </c>
      <c r="C252" s="24">
        <f t="shared" si="11"/>
        <v>0.15</v>
      </c>
      <c r="D252" s="24">
        <f t="shared" si="12"/>
        <v>0.39366000000000029</v>
      </c>
    </row>
    <row r="253" spans="1:8" x14ac:dyDescent="0.3">
      <c r="A253" s="24">
        <v>2</v>
      </c>
      <c r="B253" s="24">
        <v>0.19</v>
      </c>
      <c r="C253" s="24">
        <f t="shared" si="11"/>
        <v>0.38</v>
      </c>
      <c r="D253" s="24">
        <f t="shared" si="12"/>
        <v>7.3036000000000129E-2</v>
      </c>
    </row>
    <row r="254" spans="1:8" x14ac:dyDescent="0.3">
      <c r="A254" s="24">
        <v>3</v>
      </c>
      <c r="B254" s="24">
        <v>0.26</v>
      </c>
      <c r="C254" s="24">
        <f t="shared" si="11"/>
        <v>0.78</v>
      </c>
      <c r="D254" s="24">
        <f t="shared" si="12"/>
        <v>3.754399999999989E-2</v>
      </c>
    </row>
    <row r="255" spans="1:8" x14ac:dyDescent="0.3">
      <c r="A255" s="24">
        <v>4</v>
      </c>
      <c r="B255" s="24">
        <v>0.19</v>
      </c>
      <c r="C255" s="24">
        <f t="shared" si="11"/>
        <v>0.76</v>
      </c>
      <c r="D255" s="24">
        <f t="shared" si="12"/>
        <v>0.36183599999999971</v>
      </c>
    </row>
    <row r="256" spans="1:8" x14ac:dyDescent="0.3">
      <c r="A256" s="24">
        <v>5</v>
      </c>
      <c r="B256" s="24">
        <v>0.11</v>
      </c>
      <c r="C256" s="24">
        <f t="shared" si="11"/>
        <v>0.55000000000000004</v>
      </c>
      <c r="D256" s="24">
        <f t="shared" si="12"/>
        <v>0.62308399999999964</v>
      </c>
    </row>
    <row r="257" spans="1:8" x14ac:dyDescent="0.3">
      <c r="A257" s="24" t="s">
        <v>98</v>
      </c>
      <c r="B257" s="24">
        <f>SUM(B251:B256)</f>
        <v>0.99999999999999989</v>
      </c>
      <c r="C257" s="24">
        <f>SUM(C251:C256)</f>
        <v>2.62</v>
      </c>
      <c r="D257" s="24">
        <f>SUM(D251:D256)</f>
        <v>2.1755999999999998</v>
      </c>
    </row>
    <row r="258" spans="1:8" x14ac:dyDescent="0.3">
      <c r="A258" s="24" t="s">
        <v>3</v>
      </c>
      <c r="C258" s="35">
        <f>C257/B257</f>
        <v>2.6200000000000006</v>
      </c>
    </row>
    <row r="259" spans="1:8" x14ac:dyDescent="0.3">
      <c r="A259" s="24" t="s">
        <v>255</v>
      </c>
      <c r="D259" s="24">
        <f>D257/B257</f>
        <v>2.1756000000000002</v>
      </c>
    </row>
    <row r="260" spans="1:8" ht="31.2" x14ac:dyDescent="0.3">
      <c r="A260" s="24" t="s">
        <v>4</v>
      </c>
      <c r="D260" s="35">
        <f>SQRT(D259)</f>
        <v>1.4749915253993835</v>
      </c>
    </row>
    <row r="261" spans="1:8" ht="16.2" thickBot="1" x14ac:dyDescent="0.35"/>
    <row r="262" spans="1:8" ht="16.2" thickBot="1" x14ac:dyDescent="0.35">
      <c r="A262" s="245" t="s">
        <v>48</v>
      </c>
      <c r="B262" s="246"/>
      <c r="C262" s="246"/>
      <c r="D262" s="246"/>
      <c r="E262" s="246"/>
      <c r="F262" s="246"/>
      <c r="G262" s="246"/>
      <c r="H262" s="247"/>
    </row>
    <row r="263" spans="1:8" x14ac:dyDescent="0.3">
      <c r="A263" s="24" t="s">
        <v>267</v>
      </c>
      <c r="B263" s="24" t="s">
        <v>268</v>
      </c>
      <c r="C263" s="24" t="s">
        <v>115</v>
      </c>
      <c r="D263" s="1" t="s">
        <v>135</v>
      </c>
    </row>
    <row r="264" spans="1:8" x14ac:dyDescent="0.3">
      <c r="A264" s="24">
        <v>1</v>
      </c>
      <c r="B264" s="24">
        <v>7.0000000000000007E-2</v>
      </c>
      <c r="C264" s="24">
        <f>A264*B264</f>
        <v>7.0000000000000007E-2</v>
      </c>
      <c r="D264" s="24">
        <f>B264*(A264-$C$270)^2</f>
        <v>0.36708700000000005</v>
      </c>
    </row>
    <row r="265" spans="1:8" x14ac:dyDescent="0.3">
      <c r="A265" s="24">
        <v>2</v>
      </c>
      <c r="B265" s="24">
        <v>0.19</v>
      </c>
      <c r="C265" s="24">
        <f>A265*B265</f>
        <v>0.38</v>
      </c>
      <c r="D265" s="24">
        <f>B265*(A265-$C$270)^2</f>
        <v>0.31617900000000004</v>
      </c>
    </row>
    <row r="266" spans="1:8" x14ac:dyDescent="0.3">
      <c r="A266" s="24">
        <v>3</v>
      </c>
      <c r="B266" s="24">
        <v>0.28000000000000003</v>
      </c>
      <c r="C266" s="24">
        <f>A266*B266</f>
        <v>0.84000000000000008</v>
      </c>
      <c r="D266" s="24">
        <f>B266*(A266-$C$270)^2</f>
        <v>2.354800000000001E-2</v>
      </c>
    </row>
    <row r="267" spans="1:8" x14ac:dyDescent="0.3">
      <c r="A267" s="24">
        <v>4</v>
      </c>
      <c r="B267" s="24">
        <v>0.3</v>
      </c>
      <c r="C267" s="24">
        <f>A267*B267</f>
        <v>1.2</v>
      </c>
      <c r="D267" s="24">
        <f>B267*(A267-$C$270)^2</f>
        <v>0.15123</v>
      </c>
    </row>
    <row r="268" spans="1:8" x14ac:dyDescent="0.3">
      <c r="A268" s="24">
        <v>5</v>
      </c>
      <c r="B268" s="24">
        <v>0.16</v>
      </c>
      <c r="C268" s="24">
        <f>A268*B268</f>
        <v>0.8</v>
      </c>
      <c r="D268" s="24">
        <f>B268*(A268-$C$270)^2</f>
        <v>0.46785599999999994</v>
      </c>
    </row>
    <row r="269" spans="1:8" x14ac:dyDescent="0.3">
      <c r="A269" s="24" t="s">
        <v>98</v>
      </c>
      <c r="B269" s="24">
        <f>SUM(B264:B268)</f>
        <v>1</v>
      </c>
      <c r="C269" s="24">
        <f>SUM(C264:C268)</f>
        <v>3.29</v>
      </c>
      <c r="D269" s="24">
        <f>SUM(D264:D268)</f>
        <v>1.3259000000000001</v>
      </c>
    </row>
    <row r="270" spans="1:8" x14ac:dyDescent="0.3">
      <c r="A270" s="24" t="s">
        <v>3</v>
      </c>
      <c r="C270" s="35">
        <f>C269/B269</f>
        <v>3.29</v>
      </c>
    </row>
    <row r="271" spans="1:8" x14ac:dyDescent="0.3">
      <c r="A271" s="24" t="s">
        <v>255</v>
      </c>
      <c r="D271" s="24">
        <f>D269/B269</f>
        <v>1.3259000000000001</v>
      </c>
    </row>
    <row r="272" spans="1:8" ht="31.2" x14ac:dyDescent="0.3">
      <c r="A272" s="24" t="s">
        <v>4</v>
      </c>
      <c r="D272" s="35">
        <f>SQRT(D271)</f>
        <v>1.1514773119779651</v>
      </c>
    </row>
    <row r="273" spans="1:8" ht="16.2" thickBot="1" x14ac:dyDescent="0.35"/>
    <row r="274" spans="1:8" ht="16.2" thickBot="1" x14ac:dyDescent="0.35">
      <c r="A274" s="245" t="s">
        <v>49</v>
      </c>
      <c r="B274" s="246"/>
      <c r="C274" s="246"/>
      <c r="D274" s="246"/>
      <c r="E274" s="246"/>
      <c r="F274" s="246"/>
      <c r="G274" s="246"/>
      <c r="H274" s="247"/>
    </row>
    <row r="275" spans="1:8" x14ac:dyDescent="0.3">
      <c r="A275" s="24" t="s">
        <v>269</v>
      </c>
      <c r="B275" s="24" t="s">
        <v>217</v>
      </c>
    </row>
    <row r="276" spans="1:8" ht="35.4" customHeight="1" x14ac:dyDescent="0.3">
      <c r="A276" s="24">
        <v>0</v>
      </c>
      <c r="B276" s="24">
        <v>0.12</v>
      </c>
      <c r="D276" s="24" t="s">
        <v>270</v>
      </c>
      <c r="E276" s="24">
        <v>70</v>
      </c>
    </row>
    <row r="277" spans="1:8" ht="31.2" x14ac:dyDescent="0.3">
      <c r="A277" s="24">
        <v>1</v>
      </c>
      <c r="B277" s="24">
        <v>0.16</v>
      </c>
      <c r="D277" s="24" t="s">
        <v>271</v>
      </c>
      <c r="E277" s="24">
        <v>90</v>
      </c>
    </row>
    <row r="278" spans="1:8" ht="31.2" x14ac:dyDescent="0.3">
      <c r="A278" s="24">
        <v>2</v>
      </c>
      <c r="B278" s="24">
        <v>0.18</v>
      </c>
      <c r="D278" s="24" t="s">
        <v>272</v>
      </c>
      <c r="E278" s="24">
        <v>70</v>
      </c>
    </row>
    <row r="279" spans="1:8" ht="46.8" x14ac:dyDescent="0.3">
      <c r="A279" s="24">
        <v>3</v>
      </c>
      <c r="B279" s="24">
        <v>0.32</v>
      </c>
      <c r="D279" s="24" t="s">
        <v>273</v>
      </c>
      <c r="E279" s="24">
        <v>5</v>
      </c>
    </row>
    <row r="280" spans="1:8" x14ac:dyDescent="0.3">
      <c r="A280" s="24">
        <v>4</v>
      </c>
      <c r="B280" s="24">
        <v>0.14000000000000001</v>
      </c>
    </row>
    <row r="281" spans="1:8" x14ac:dyDescent="0.3">
      <c r="A281" s="24">
        <v>5</v>
      </c>
      <c r="B281" s="24">
        <v>0.08</v>
      </c>
    </row>
    <row r="283" spans="1:8" ht="31.2" x14ac:dyDescent="0.3">
      <c r="A283" s="24" t="s">
        <v>275</v>
      </c>
      <c r="B283" s="24" t="s">
        <v>274</v>
      </c>
      <c r="C283" s="24" t="s">
        <v>276</v>
      </c>
      <c r="D283" s="24" t="s">
        <v>277</v>
      </c>
      <c r="E283" s="24" t="s">
        <v>258</v>
      </c>
      <c r="F283" s="24" t="s">
        <v>217</v>
      </c>
      <c r="G283" s="24" t="s">
        <v>278</v>
      </c>
      <c r="H283" s="24" t="s">
        <v>259</v>
      </c>
    </row>
    <row r="284" spans="1:8" x14ac:dyDescent="0.3">
      <c r="A284" s="24">
        <v>0</v>
      </c>
      <c r="B284" s="24">
        <v>0</v>
      </c>
      <c r="C284" s="24">
        <f t="shared" ref="C284:C319" si="13">A284*70+IF(A284&lt;B284,5*(B284-A284),0)</f>
        <v>0</v>
      </c>
      <c r="D284" s="24">
        <f t="shared" ref="D284:D319" si="14">IF(B284&lt;=A284,B284*90,A284*90)</f>
        <v>0</v>
      </c>
      <c r="E284" s="24">
        <f>D284-C284</f>
        <v>0</v>
      </c>
      <c r="F284" s="24">
        <v>0.12</v>
      </c>
      <c r="G284" s="24">
        <f>E284*F284</f>
        <v>0</v>
      </c>
      <c r="H284" s="256">
        <f>SUM(G284:G289)</f>
        <v>-12.2</v>
      </c>
    </row>
    <row r="285" spans="1:8" x14ac:dyDescent="0.3">
      <c r="A285" s="24">
        <v>0</v>
      </c>
      <c r="B285" s="24">
        <v>1</v>
      </c>
      <c r="C285" s="24">
        <f t="shared" si="13"/>
        <v>5</v>
      </c>
      <c r="D285" s="24">
        <f t="shared" si="14"/>
        <v>0</v>
      </c>
      <c r="E285" s="24">
        <f t="shared" ref="E285:E319" si="15">D285-C285</f>
        <v>-5</v>
      </c>
      <c r="F285" s="24">
        <v>0.16</v>
      </c>
      <c r="G285" s="24">
        <f t="shared" ref="G285:G319" si="16">E285*F285</f>
        <v>-0.8</v>
      </c>
      <c r="H285" s="256"/>
    </row>
    <row r="286" spans="1:8" x14ac:dyDescent="0.3">
      <c r="A286" s="24">
        <v>0</v>
      </c>
      <c r="B286" s="24">
        <v>2</v>
      </c>
      <c r="C286" s="24">
        <f t="shared" si="13"/>
        <v>10</v>
      </c>
      <c r="D286" s="24">
        <f t="shared" si="14"/>
        <v>0</v>
      </c>
      <c r="E286" s="24">
        <f t="shared" si="15"/>
        <v>-10</v>
      </c>
      <c r="F286" s="24">
        <v>0.18</v>
      </c>
      <c r="G286" s="24">
        <f t="shared" si="16"/>
        <v>-1.7999999999999998</v>
      </c>
      <c r="H286" s="256"/>
    </row>
    <row r="287" spans="1:8" x14ac:dyDescent="0.3">
      <c r="A287" s="24">
        <v>0</v>
      </c>
      <c r="B287" s="24">
        <v>3</v>
      </c>
      <c r="C287" s="24">
        <f t="shared" si="13"/>
        <v>15</v>
      </c>
      <c r="D287" s="24">
        <f t="shared" si="14"/>
        <v>0</v>
      </c>
      <c r="E287" s="24">
        <f t="shared" si="15"/>
        <v>-15</v>
      </c>
      <c r="F287" s="24">
        <v>0.32</v>
      </c>
      <c r="G287" s="24">
        <f t="shared" si="16"/>
        <v>-4.8</v>
      </c>
      <c r="H287" s="256"/>
    </row>
    <row r="288" spans="1:8" x14ac:dyDescent="0.3">
      <c r="A288" s="24">
        <v>0</v>
      </c>
      <c r="B288" s="24">
        <v>4</v>
      </c>
      <c r="C288" s="24">
        <f t="shared" si="13"/>
        <v>20</v>
      </c>
      <c r="D288" s="24">
        <f t="shared" si="14"/>
        <v>0</v>
      </c>
      <c r="E288" s="24">
        <f t="shared" si="15"/>
        <v>-20</v>
      </c>
      <c r="F288" s="24">
        <v>0.14000000000000001</v>
      </c>
      <c r="G288" s="24">
        <f t="shared" si="16"/>
        <v>-2.8000000000000003</v>
      </c>
      <c r="H288" s="256"/>
    </row>
    <row r="289" spans="1:8" x14ac:dyDescent="0.3">
      <c r="A289" s="24">
        <v>0</v>
      </c>
      <c r="B289" s="24">
        <v>5</v>
      </c>
      <c r="C289" s="24">
        <f t="shared" si="13"/>
        <v>25</v>
      </c>
      <c r="D289" s="24">
        <f t="shared" si="14"/>
        <v>0</v>
      </c>
      <c r="E289" s="24">
        <f t="shared" si="15"/>
        <v>-25</v>
      </c>
      <c r="F289" s="24">
        <v>0.08</v>
      </c>
      <c r="G289" s="24">
        <f t="shared" si="16"/>
        <v>-2</v>
      </c>
      <c r="H289" s="256"/>
    </row>
    <row r="290" spans="1:8" x14ac:dyDescent="0.3">
      <c r="A290" s="35">
        <v>1</v>
      </c>
      <c r="B290" s="24">
        <v>0</v>
      </c>
      <c r="C290" s="24">
        <f t="shared" si="13"/>
        <v>70</v>
      </c>
      <c r="D290" s="24">
        <f t="shared" si="14"/>
        <v>0</v>
      </c>
      <c r="E290" s="24">
        <f t="shared" si="15"/>
        <v>-70</v>
      </c>
      <c r="F290" s="24">
        <v>0.12</v>
      </c>
      <c r="G290" s="24">
        <f t="shared" si="16"/>
        <v>-8.4</v>
      </c>
      <c r="H290" s="259">
        <f>SUM(G290:G295)</f>
        <v>1.4</v>
      </c>
    </row>
    <row r="291" spans="1:8" x14ac:dyDescent="0.3">
      <c r="A291" s="35">
        <v>1</v>
      </c>
      <c r="B291" s="24">
        <v>1</v>
      </c>
      <c r="C291" s="24">
        <f t="shared" si="13"/>
        <v>70</v>
      </c>
      <c r="D291" s="24">
        <f t="shared" si="14"/>
        <v>90</v>
      </c>
      <c r="E291" s="24">
        <f t="shared" si="15"/>
        <v>20</v>
      </c>
      <c r="F291" s="24">
        <v>0.16</v>
      </c>
      <c r="G291" s="24">
        <f t="shared" si="16"/>
        <v>3.2</v>
      </c>
      <c r="H291" s="259"/>
    </row>
    <row r="292" spans="1:8" x14ac:dyDescent="0.3">
      <c r="A292" s="35">
        <v>1</v>
      </c>
      <c r="B292" s="24">
        <v>2</v>
      </c>
      <c r="C292" s="24">
        <f t="shared" si="13"/>
        <v>75</v>
      </c>
      <c r="D292" s="24">
        <f t="shared" si="14"/>
        <v>90</v>
      </c>
      <c r="E292" s="24">
        <f t="shared" si="15"/>
        <v>15</v>
      </c>
      <c r="F292" s="24">
        <v>0.18</v>
      </c>
      <c r="G292" s="24">
        <f t="shared" si="16"/>
        <v>2.6999999999999997</v>
      </c>
      <c r="H292" s="259"/>
    </row>
    <row r="293" spans="1:8" x14ac:dyDescent="0.3">
      <c r="A293" s="35">
        <v>1</v>
      </c>
      <c r="B293" s="24">
        <v>3</v>
      </c>
      <c r="C293" s="24">
        <f t="shared" si="13"/>
        <v>80</v>
      </c>
      <c r="D293" s="24">
        <f t="shared" si="14"/>
        <v>90</v>
      </c>
      <c r="E293" s="24">
        <f t="shared" si="15"/>
        <v>10</v>
      </c>
      <c r="F293" s="24">
        <v>0.32</v>
      </c>
      <c r="G293" s="24">
        <f t="shared" si="16"/>
        <v>3.2</v>
      </c>
      <c r="H293" s="259"/>
    </row>
    <row r="294" spans="1:8" x14ac:dyDescent="0.3">
      <c r="A294" s="35">
        <v>1</v>
      </c>
      <c r="B294" s="24">
        <v>4</v>
      </c>
      <c r="C294" s="24">
        <f t="shared" si="13"/>
        <v>85</v>
      </c>
      <c r="D294" s="24">
        <f t="shared" si="14"/>
        <v>90</v>
      </c>
      <c r="E294" s="24">
        <f t="shared" si="15"/>
        <v>5</v>
      </c>
      <c r="F294" s="24">
        <v>0.14000000000000001</v>
      </c>
      <c r="G294" s="24">
        <f t="shared" si="16"/>
        <v>0.70000000000000007</v>
      </c>
      <c r="H294" s="259"/>
    </row>
    <row r="295" spans="1:8" x14ac:dyDescent="0.3">
      <c r="A295" s="35">
        <v>1</v>
      </c>
      <c r="B295" s="24">
        <v>5</v>
      </c>
      <c r="C295" s="24">
        <f t="shared" si="13"/>
        <v>90</v>
      </c>
      <c r="D295" s="24">
        <f t="shared" si="14"/>
        <v>90</v>
      </c>
      <c r="E295" s="24">
        <f t="shared" si="15"/>
        <v>0</v>
      </c>
      <c r="F295" s="24">
        <v>0.08</v>
      </c>
      <c r="G295" s="24">
        <f t="shared" si="16"/>
        <v>0</v>
      </c>
      <c r="H295" s="259"/>
    </row>
    <row r="296" spans="1:8" x14ac:dyDescent="0.3">
      <c r="A296" s="24">
        <v>2</v>
      </c>
      <c r="B296" s="24">
        <v>0</v>
      </c>
      <c r="C296" s="24">
        <f t="shared" si="13"/>
        <v>140</v>
      </c>
      <c r="D296" s="24">
        <f t="shared" si="14"/>
        <v>0</v>
      </c>
      <c r="E296" s="24">
        <f t="shared" si="15"/>
        <v>-140</v>
      </c>
      <c r="F296" s="24">
        <v>0.12</v>
      </c>
      <c r="G296" s="24">
        <f t="shared" si="16"/>
        <v>-16.8</v>
      </c>
      <c r="H296" s="256">
        <f>SUM(G296:G301)</f>
        <v>-0.20000000000000018</v>
      </c>
    </row>
    <row r="297" spans="1:8" x14ac:dyDescent="0.3">
      <c r="A297" s="24">
        <v>2</v>
      </c>
      <c r="B297" s="24">
        <v>1</v>
      </c>
      <c r="C297" s="24">
        <f t="shared" si="13"/>
        <v>140</v>
      </c>
      <c r="D297" s="24">
        <f t="shared" si="14"/>
        <v>90</v>
      </c>
      <c r="E297" s="24">
        <f t="shared" si="15"/>
        <v>-50</v>
      </c>
      <c r="F297" s="24">
        <v>0.16</v>
      </c>
      <c r="G297" s="24">
        <f t="shared" si="16"/>
        <v>-8</v>
      </c>
      <c r="H297" s="256"/>
    </row>
    <row r="298" spans="1:8" x14ac:dyDescent="0.3">
      <c r="A298" s="24">
        <v>2</v>
      </c>
      <c r="B298" s="24">
        <v>2</v>
      </c>
      <c r="C298" s="24">
        <f t="shared" si="13"/>
        <v>140</v>
      </c>
      <c r="D298" s="24">
        <f t="shared" si="14"/>
        <v>180</v>
      </c>
      <c r="E298" s="24">
        <f t="shared" si="15"/>
        <v>40</v>
      </c>
      <c r="F298" s="24">
        <v>0.18</v>
      </c>
      <c r="G298" s="24">
        <f t="shared" si="16"/>
        <v>7.1999999999999993</v>
      </c>
      <c r="H298" s="256"/>
    </row>
    <row r="299" spans="1:8" x14ac:dyDescent="0.3">
      <c r="A299" s="24">
        <v>2</v>
      </c>
      <c r="B299" s="24">
        <v>3</v>
      </c>
      <c r="C299" s="24">
        <f t="shared" si="13"/>
        <v>145</v>
      </c>
      <c r="D299" s="24">
        <f t="shared" si="14"/>
        <v>180</v>
      </c>
      <c r="E299" s="24">
        <f t="shared" si="15"/>
        <v>35</v>
      </c>
      <c r="F299" s="24">
        <v>0.32</v>
      </c>
      <c r="G299" s="24">
        <f t="shared" si="16"/>
        <v>11.200000000000001</v>
      </c>
      <c r="H299" s="256"/>
    </row>
    <row r="300" spans="1:8" x14ac:dyDescent="0.3">
      <c r="A300" s="24">
        <v>2</v>
      </c>
      <c r="B300" s="24">
        <v>4</v>
      </c>
      <c r="C300" s="24">
        <f t="shared" si="13"/>
        <v>150</v>
      </c>
      <c r="D300" s="24">
        <f t="shared" si="14"/>
        <v>180</v>
      </c>
      <c r="E300" s="24">
        <f t="shared" si="15"/>
        <v>30</v>
      </c>
      <c r="F300" s="24">
        <v>0.14000000000000001</v>
      </c>
      <c r="G300" s="24">
        <f t="shared" si="16"/>
        <v>4.2</v>
      </c>
      <c r="H300" s="256"/>
    </row>
    <row r="301" spans="1:8" x14ac:dyDescent="0.3">
      <c r="A301" s="24">
        <v>2</v>
      </c>
      <c r="B301" s="24">
        <v>5</v>
      </c>
      <c r="C301" s="24">
        <f t="shared" si="13"/>
        <v>155</v>
      </c>
      <c r="D301" s="24">
        <f t="shared" si="14"/>
        <v>180</v>
      </c>
      <c r="E301" s="24">
        <f t="shared" si="15"/>
        <v>25</v>
      </c>
      <c r="F301" s="24">
        <v>0.08</v>
      </c>
      <c r="G301" s="24">
        <f t="shared" si="16"/>
        <v>2</v>
      </c>
      <c r="H301" s="256"/>
    </row>
    <row r="302" spans="1:8" x14ac:dyDescent="0.3">
      <c r="A302" s="24">
        <v>3</v>
      </c>
      <c r="B302" s="24">
        <v>0</v>
      </c>
      <c r="C302" s="24">
        <f t="shared" si="13"/>
        <v>210</v>
      </c>
      <c r="D302" s="24">
        <f t="shared" si="14"/>
        <v>0</v>
      </c>
      <c r="E302" s="24">
        <f t="shared" si="15"/>
        <v>-210</v>
      </c>
      <c r="F302" s="24">
        <v>0.12</v>
      </c>
      <c r="G302" s="24">
        <f t="shared" si="16"/>
        <v>-25.2</v>
      </c>
      <c r="H302" s="256">
        <f>SUM(G302:G307)</f>
        <v>-18.899999999999999</v>
      </c>
    </row>
    <row r="303" spans="1:8" x14ac:dyDescent="0.3">
      <c r="A303" s="24">
        <v>3</v>
      </c>
      <c r="B303" s="24">
        <v>1</v>
      </c>
      <c r="C303" s="24">
        <f t="shared" si="13"/>
        <v>210</v>
      </c>
      <c r="D303" s="24">
        <f t="shared" si="14"/>
        <v>90</v>
      </c>
      <c r="E303" s="24">
        <f t="shared" si="15"/>
        <v>-120</v>
      </c>
      <c r="F303" s="24">
        <v>0.16</v>
      </c>
      <c r="G303" s="24">
        <f t="shared" si="16"/>
        <v>-19.2</v>
      </c>
      <c r="H303" s="256"/>
    </row>
    <row r="304" spans="1:8" x14ac:dyDescent="0.3">
      <c r="A304" s="24">
        <v>3</v>
      </c>
      <c r="B304" s="24">
        <v>2</v>
      </c>
      <c r="C304" s="24">
        <f t="shared" si="13"/>
        <v>210</v>
      </c>
      <c r="D304" s="24">
        <f t="shared" si="14"/>
        <v>180</v>
      </c>
      <c r="E304" s="24">
        <f t="shared" si="15"/>
        <v>-30</v>
      </c>
      <c r="F304" s="24">
        <v>0.18</v>
      </c>
      <c r="G304" s="24">
        <f t="shared" si="16"/>
        <v>-5.3999999999999995</v>
      </c>
      <c r="H304" s="256"/>
    </row>
    <row r="305" spans="1:8" x14ac:dyDescent="0.3">
      <c r="A305" s="24">
        <v>3</v>
      </c>
      <c r="B305" s="24">
        <v>3</v>
      </c>
      <c r="C305" s="24">
        <f t="shared" si="13"/>
        <v>210</v>
      </c>
      <c r="D305" s="24">
        <f t="shared" si="14"/>
        <v>270</v>
      </c>
      <c r="E305" s="24">
        <f t="shared" si="15"/>
        <v>60</v>
      </c>
      <c r="F305" s="24">
        <v>0.32</v>
      </c>
      <c r="G305" s="24">
        <f t="shared" si="16"/>
        <v>19.2</v>
      </c>
      <c r="H305" s="256"/>
    </row>
    <row r="306" spans="1:8" x14ac:dyDescent="0.3">
      <c r="A306" s="24">
        <v>3</v>
      </c>
      <c r="B306" s="24">
        <v>4</v>
      </c>
      <c r="C306" s="24">
        <f t="shared" si="13"/>
        <v>215</v>
      </c>
      <c r="D306" s="24">
        <f t="shared" si="14"/>
        <v>270</v>
      </c>
      <c r="E306" s="24">
        <f t="shared" si="15"/>
        <v>55</v>
      </c>
      <c r="F306" s="24">
        <v>0.14000000000000001</v>
      </c>
      <c r="G306" s="24">
        <f t="shared" si="16"/>
        <v>7.7000000000000011</v>
      </c>
      <c r="H306" s="256"/>
    </row>
    <row r="307" spans="1:8" x14ac:dyDescent="0.3">
      <c r="A307" s="24">
        <v>3</v>
      </c>
      <c r="B307" s="24">
        <v>5</v>
      </c>
      <c r="C307" s="24">
        <f t="shared" si="13"/>
        <v>220</v>
      </c>
      <c r="D307" s="24">
        <f t="shared" si="14"/>
        <v>270</v>
      </c>
      <c r="E307" s="24">
        <f t="shared" si="15"/>
        <v>50</v>
      </c>
      <c r="F307" s="24">
        <v>0.08</v>
      </c>
      <c r="G307" s="24">
        <f t="shared" si="16"/>
        <v>4</v>
      </c>
      <c r="H307" s="256"/>
    </row>
    <row r="308" spans="1:8" x14ac:dyDescent="0.3">
      <c r="A308" s="24">
        <v>4</v>
      </c>
      <c r="B308" s="24">
        <v>0</v>
      </c>
      <c r="C308" s="24">
        <f t="shared" si="13"/>
        <v>280</v>
      </c>
      <c r="D308" s="24">
        <f t="shared" si="14"/>
        <v>0</v>
      </c>
      <c r="E308" s="24">
        <f t="shared" si="15"/>
        <v>-280</v>
      </c>
      <c r="F308" s="24">
        <v>0.12</v>
      </c>
      <c r="G308" s="24">
        <f t="shared" si="16"/>
        <v>-33.6</v>
      </c>
      <c r="H308" s="256">
        <f>SUM(G308:G313)</f>
        <v>-68</v>
      </c>
    </row>
    <row r="309" spans="1:8" x14ac:dyDescent="0.3">
      <c r="A309" s="24">
        <v>4</v>
      </c>
      <c r="B309" s="24">
        <v>1</v>
      </c>
      <c r="C309" s="24">
        <f t="shared" si="13"/>
        <v>280</v>
      </c>
      <c r="D309" s="24">
        <f t="shared" si="14"/>
        <v>90</v>
      </c>
      <c r="E309" s="24">
        <f t="shared" si="15"/>
        <v>-190</v>
      </c>
      <c r="F309" s="24">
        <v>0.16</v>
      </c>
      <c r="G309" s="24">
        <f t="shared" si="16"/>
        <v>-30.400000000000002</v>
      </c>
      <c r="H309" s="256"/>
    </row>
    <row r="310" spans="1:8" x14ac:dyDescent="0.3">
      <c r="A310" s="24">
        <v>4</v>
      </c>
      <c r="B310" s="24">
        <v>2</v>
      </c>
      <c r="C310" s="24">
        <f t="shared" si="13"/>
        <v>280</v>
      </c>
      <c r="D310" s="24">
        <f t="shared" si="14"/>
        <v>180</v>
      </c>
      <c r="E310" s="24">
        <f t="shared" si="15"/>
        <v>-100</v>
      </c>
      <c r="F310" s="24">
        <v>0.18</v>
      </c>
      <c r="G310" s="24">
        <f t="shared" si="16"/>
        <v>-18</v>
      </c>
      <c r="H310" s="256"/>
    </row>
    <row r="311" spans="1:8" x14ac:dyDescent="0.3">
      <c r="A311" s="24">
        <v>4</v>
      </c>
      <c r="B311" s="24">
        <v>3</v>
      </c>
      <c r="C311" s="24">
        <f t="shared" si="13"/>
        <v>280</v>
      </c>
      <c r="D311" s="24">
        <f t="shared" si="14"/>
        <v>270</v>
      </c>
      <c r="E311" s="24">
        <f t="shared" si="15"/>
        <v>-10</v>
      </c>
      <c r="F311" s="24">
        <v>0.32</v>
      </c>
      <c r="G311" s="24">
        <f t="shared" si="16"/>
        <v>-3.2</v>
      </c>
      <c r="H311" s="256"/>
    </row>
    <row r="312" spans="1:8" x14ac:dyDescent="0.3">
      <c r="A312" s="24">
        <v>4</v>
      </c>
      <c r="B312" s="24">
        <v>4</v>
      </c>
      <c r="C312" s="24">
        <f t="shared" si="13"/>
        <v>280</v>
      </c>
      <c r="D312" s="24">
        <f t="shared" si="14"/>
        <v>360</v>
      </c>
      <c r="E312" s="24">
        <f t="shared" si="15"/>
        <v>80</v>
      </c>
      <c r="F312" s="24">
        <v>0.14000000000000001</v>
      </c>
      <c r="G312" s="24">
        <f t="shared" si="16"/>
        <v>11.200000000000001</v>
      </c>
      <c r="H312" s="256"/>
    </row>
    <row r="313" spans="1:8" x14ac:dyDescent="0.3">
      <c r="A313" s="24">
        <v>4</v>
      </c>
      <c r="B313" s="24">
        <v>5</v>
      </c>
      <c r="C313" s="24">
        <f t="shared" si="13"/>
        <v>285</v>
      </c>
      <c r="D313" s="24">
        <f t="shared" si="14"/>
        <v>360</v>
      </c>
      <c r="E313" s="24">
        <f t="shared" si="15"/>
        <v>75</v>
      </c>
      <c r="F313" s="24">
        <v>0.08</v>
      </c>
      <c r="G313" s="24">
        <f t="shared" si="16"/>
        <v>6</v>
      </c>
      <c r="H313" s="256"/>
    </row>
    <row r="314" spans="1:8" x14ac:dyDescent="0.3">
      <c r="A314" s="24">
        <v>5</v>
      </c>
      <c r="B314" s="24">
        <v>0</v>
      </c>
      <c r="C314" s="24">
        <f t="shared" si="13"/>
        <v>350</v>
      </c>
      <c r="D314" s="24">
        <f t="shared" si="14"/>
        <v>0</v>
      </c>
      <c r="E314" s="24">
        <f t="shared" si="15"/>
        <v>-350</v>
      </c>
      <c r="F314" s="24">
        <v>0.12</v>
      </c>
      <c r="G314" s="24">
        <f t="shared" si="16"/>
        <v>-42</v>
      </c>
      <c r="H314" s="256">
        <f>SUM(G314:G319)</f>
        <v>-130.39999999999998</v>
      </c>
    </row>
    <row r="315" spans="1:8" x14ac:dyDescent="0.3">
      <c r="A315" s="24">
        <v>5</v>
      </c>
      <c r="B315" s="24">
        <v>1</v>
      </c>
      <c r="C315" s="24">
        <f t="shared" si="13"/>
        <v>350</v>
      </c>
      <c r="D315" s="24">
        <f t="shared" si="14"/>
        <v>90</v>
      </c>
      <c r="E315" s="24">
        <f t="shared" si="15"/>
        <v>-260</v>
      </c>
      <c r="F315" s="24">
        <v>0.16</v>
      </c>
      <c r="G315" s="24">
        <f t="shared" si="16"/>
        <v>-41.6</v>
      </c>
      <c r="H315" s="256"/>
    </row>
    <row r="316" spans="1:8" x14ac:dyDescent="0.3">
      <c r="A316" s="24">
        <v>5</v>
      </c>
      <c r="B316" s="24">
        <v>2</v>
      </c>
      <c r="C316" s="24">
        <f t="shared" si="13"/>
        <v>350</v>
      </c>
      <c r="D316" s="24">
        <f t="shared" si="14"/>
        <v>180</v>
      </c>
      <c r="E316" s="24">
        <f t="shared" si="15"/>
        <v>-170</v>
      </c>
      <c r="F316" s="24">
        <v>0.18</v>
      </c>
      <c r="G316" s="24">
        <f t="shared" si="16"/>
        <v>-30.599999999999998</v>
      </c>
      <c r="H316" s="256"/>
    </row>
    <row r="317" spans="1:8" x14ac:dyDescent="0.3">
      <c r="A317" s="24">
        <v>5</v>
      </c>
      <c r="B317" s="24">
        <v>3</v>
      </c>
      <c r="C317" s="24">
        <f t="shared" si="13"/>
        <v>350</v>
      </c>
      <c r="D317" s="24">
        <f t="shared" si="14"/>
        <v>270</v>
      </c>
      <c r="E317" s="24">
        <f t="shared" si="15"/>
        <v>-80</v>
      </c>
      <c r="F317" s="24">
        <v>0.32</v>
      </c>
      <c r="G317" s="24">
        <f t="shared" si="16"/>
        <v>-25.6</v>
      </c>
      <c r="H317" s="256"/>
    </row>
    <row r="318" spans="1:8" x14ac:dyDescent="0.3">
      <c r="A318" s="24">
        <v>5</v>
      </c>
      <c r="B318" s="24">
        <v>4</v>
      </c>
      <c r="C318" s="24">
        <f t="shared" si="13"/>
        <v>350</v>
      </c>
      <c r="D318" s="24">
        <f t="shared" si="14"/>
        <v>360</v>
      </c>
      <c r="E318" s="24">
        <f t="shared" si="15"/>
        <v>10</v>
      </c>
      <c r="F318" s="24">
        <v>0.14000000000000001</v>
      </c>
      <c r="G318" s="24">
        <f t="shared" si="16"/>
        <v>1.4000000000000001</v>
      </c>
      <c r="H318" s="256"/>
    </row>
    <row r="319" spans="1:8" x14ac:dyDescent="0.3">
      <c r="A319" s="24">
        <v>5</v>
      </c>
      <c r="B319" s="24">
        <v>5</v>
      </c>
      <c r="C319" s="24">
        <f t="shared" si="13"/>
        <v>350</v>
      </c>
      <c r="D319" s="24">
        <f t="shared" si="14"/>
        <v>450</v>
      </c>
      <c r="E319" s="24">
        <f t="shared" si="15"/>
        <v>100</v>
      </c>
      <c r="F319" s="24">
        <v>0.08</v>
      </c>
      <c r="G319" s="24">
        <f t="shared" si="16"/>
        <v>8</v>
      </c>
      <c r="H319" s="256"/>
    </row>
    <row r="320" spans="1:8" ht="16.2" thickBot="1" x14ac:dyDescent="0.35"/>
    <row r="321" spans="1:8" ht="16.2" thickBot="1" x14ac:dyDescent="0.35">
      <c r="A321" s="245" t="s">
        <v>52</v>
      </c>
      <c r="B321" s="246"/>
      <c r="C321" s="246"/>
      <c r="D321" s="246"/>
      <c r="E321" s="246"/>
      <c r="F321" s="246"/>
      <c r="G321" s="246"/>
      <c r="H321" s="247"/>
    </row>
    <row r="322" spans="1:8" x14ac:dyDescent="0.3">
      <c r="A322" s="258" t="s">
        <v>53</v>
      </c>
      <c r="B322" s="258"/>
      <c r="C322" s="258"/>
      <c r="D322" s="258"/>
      <c r="E322" s="258" t="s">
        <v>54</v>
      </c>
      <c r="F322" s="258"/>
      <c r="G322" s="38"/>
      <c r="H322" s="38"/>
    </row>
    <row r="323" spans="1:8" ht="31.2" x14ac:dyDescent="0.3">
      <c r="A323" s="24" t="s">
        <v>279</v>
      </c>
      <c r="B323" s="24" t="s">
        <v>217</v>
      </c>
      <c r="C323" s="24" t="s">
        <v>115</v>
      </c>
      <c r="D323" s="1" t="s">
        <v>135</v>
      </c>
      <c r="E323" s="24" t="s">
        <v>3</v>
      </c>
      <c r="F323" s="24" t="s">
        <v>4</v>
      </c>
    </row>
    <row r="324" spans="1:8" x14ac:dyDescent="0.3">
      <c r="A324" s="24">
        <v>0</v>
      </c>
      <c r="B324" s="24">
        <v>0.1</v>
      </c>
      <c r="C324" s="24">
        <f>A324*B324</f>
        <v>0</v>
      </c>
      <c r="D324" s="24">
        <f>B324*(A324-$C$330)^2</f>
        <v>0.33124000000000003</v>
      </c>
      <c r="E324" s="35">
        <f>C330*1500</f>
        <v>2730</v>
      </c>
      <c r="F324" s="35">
        <f>D332*1500</f>
        <v>1520.5591076969024</v>
      </c>
    </row>
    <row r="325" spans="1:8" x14ac:dyDescent="0.3">
      <c r="A325" s="24">
        <v>1</v>
      </c>
      <c r="B325" s="24">
        <v>0.26</v>
      </c>
      <c r="C325" s="24">
        <f>A325*B325</f>
        <v>0.26</v>
      </c>
      <c r="D325" s="24">
        <f>B325*(A325-$C$330)^2</f>
        <v>0.17482400000000003</v>
      </c>
    </row>
    <row r="326" spans="1:8" x14ac:dyDescent="0.3">
      <c r="A326" s="24">
        <v>2</v>
      </c>
      <c r="B326" s="24">
        <v>0.42</v>
      </c>
      <c r="C326" s="24">
        <f>A326*B326</f>
        <v>0.84</v>
      </c>
      <c r="D326" s="24">
        <f>B326*(A326-$C$330)^2</f>
        <v>1.360799999999999E-2</v>
      </c>
    </row>
    <row r="327" spans="1:8" x14ac:dyDescent="0.3">
      <c r="A327" s="24">
        <v>3</v>
      </c>
      <c r="B327" s="24">
        <v>0.16</v>
      </c>
      <c r="C327" s="24">
        <f>A327*B327</f>
        <v>0.48</v>
      </c>
      <c r="D327" s="24">
        <f>B327*(A327-$C$330)^2</f>
        <v>0.22278399999999998</v>
      </c>
    </row>
    <row r="328" spans="1:8" x14ac:dyDescent="0.3">
      <c r="A328" s="24">
        <v>4</v>
      </c>
      <c r="B328" s="24">
        <v>0.06</v>
      </c>
      <c r="C328" s="24">
        <f>A328*B328</f>
        <v>0.24</v>
      </c>
      <c r="D328" s="24">
        <f>B328*(A328-$C$330)^2</f>
        <v>0.2851439999999999</v>
      </c>
    </row>
    <row r="329" spans="1:8" x14ac:dyDescent="0.3">
      <c r="A329" s="24" t="s">
        <v>98</v>
      </c>
      <c r="B329" s="24">
        <f>SUM(B324:B328)</f>
        <v>1</v>
      </c>
      <c r="C329" s="24">
        <f>SUM(C324:C328)</f>
        <v>1.82</v>
      </c>
      <c r="D329" s="24">
        <f>SUM(D324:D328)</f>
        <v>1.0275999999999998</v>
      </c>
    </row>
    <row r="330" spans="1:8" x14ac:dyDescent="0.3">
      <c r="A330" s="24" t="s">
        <v>3</v>
      </c>
      <c r="C330" s="35">
        <f>C329/B329</f>
        <v>1.82</v>
      </c>
    </row>
    <row r="331" spans="1:8" x14ac:dyDescent="0.3">
      <c r="A331" s="24" t="s">
        <v>255</v>
      </c>
      <c r="D331" s="24">
        <f>D329/B329</f>
        <v>1.0275999999999998</v>
      </c>
    </row>
    <row r="332" spans="1:8" ht="31.2" x14ac:dyDescent="0.3">
      <c r="A332" s="24" t="s">
        <v>4</v>
      </c>
      <c r="D332" s="35">
        <f>SQRT(D331)</f>
        <v>1.0137060717979349</v>
      </c>
    </row>
    <row r="333" spans="1:8" ht="16.2" thickBot="1" x14ac:dyDescent="0.35"/>
    <row r="334" spans="1:8" ht="16.2" thickBot="1" x14ac:dyDescent="0.35">
      <c r="A334" s="245" t="s">
        <v>61</v>
      </c>
      <c r="B334" s="246"/>
      <c r="C334" s="246"/>
      <c r="D334" s="246"/>
      <c r="E334" s="246"/>
      <c r="F334" s="246"/>
      <c r="G334" s="246"/>
      <c r="H334" s="247"/>
    </row>
    <row r="335" spans="1:8" ht="31.2" x14ac:dyDescent="0.3">
      <c r="B335" s="24" t="s">
        <v>217</v>
      </c>
      <c r="C335" s="24" t="s">
        <v>280</v>
      </c>
      <c r="D335" s="24" t="s">
        <v>284</v>
      </c>
    </row>
    <row r="336" spans="1:8" x14ac:dyDescent="0.3">
      <c r="A336" s="252" t="s">
        <v>281</v>
      </c>
      <c r="B336" s="24">
        <v>0.15</v>
      </c>
      <c r="C336" s="24">
        <v>10000</v>
      </c>
      <c r="D336" s="274">
        <f>B336*C336+B337*C337</f>
        <v>650</v>
      </c>
    </row>
    <row r="337" spans="1:8" x14ac:dyDescent="0.3">
      <c r="A337" s="252"/>
      <c r="B337" s="24">
        <v>0.85</v>
      </c>
      <c r="C337" s="24">
        <v>-1000</v>
      </c>
      <c r="D337" s="274"/>
    </row>
    <row r="338" spans="1:8" x14ac:dyDescent="0.3">
      <c r="A338" s="256" t="s">
        <v>282</v>
      </c>
      <c r="B338" s="24">
        <v>0.5</v>
      </c>
      <c r="C338" s="24">
        <v>1000</v>
      </c>
      <c r="D338" s="256">
        <f>B338*C338+B339*C339+B340*C340</f>
        <v>550</v>
      </c>
    </row>
    <row r="339" spans="1:8" x14ac:dyDescent="0.3">
      <c r="A339" s="256"/>
      <c r="B339" s="24">
        <v>0.3</v>
      </c>
      <c r="C339" s="24">
        <v>500</v>
      </c>
      <c r="D339" s="256"/>
    </row>
    <row r="340" spans="1:8" x14ac:dyDescent="0.3">
      <c r="A340" s="256"/>
      <c r="B340" s="24">
        <v>0.2</v>
      </c>
      <c r="C340" s="24">
        <v>-500</v>
      </c>
      <c r="D340" s="256"/>
    </row>
    <row r="341" spans="1:8" x14ac:dyDescent="0.3">
      <c r="A341" s="24" t="s">
        <v>283</v>
      </c>
      <c r="B341" s="24">
        <v>1</v>
      </c>
      <c r="C341" s="24">
        <v>400</v>
      </c>
      <c r="D341" s="24">
        <f>B341*C341</f>
        <v>400</v>
      </c>
    </row>
    <row r="343" spans="1:8" ht="15.6" customHeight="1" x14ac:dyDescent="0.3">
      <c r="A343" s="275" t="s">
        <v>285</v>
      </c>
      <c r="B343" s="275"/>
      <c r="C343" s="275"/>
      <c r="D343" s="275"/>
      <c r="E343" s="275"/>
      <c r="F343" s="275"/>
      <c r="G343" s="275"/>
      <c r="H343" s="275"/>
    </row>
    <row r="344" spans="1:8" x14ac:dyDescent="0.3">
      <c r="A344" s="275"/>
      <c r="B344" s="275"/>
      <c r="C344" s="275"/>
      <c r="D344" s="275"/>
      <c r="E344" s="275"/>
      <c r="F344" s="275"/>
      <c r="G344" s="275"/>
      <c r="H344" s="275"/>
    </row>
    <row r="345" spans="1:8" x14ac:dyDescent="0.3">
      <c r="A345" s="275"/>
      <c r="B345" s="275"/>
      <c r="C345" s="275"/>
      <c r="D345" s="275"/>
      <c r="E345" s="275"/>
      <c r="F345" s="275"/>
      <c r="G345" s="275"/>
      <c r="H345" s="275"/>
    </row>
    <row r="346" spans="1:8" x14ac:dyDescent="0.3">
      <c r="A346" s="275"/>
      <c r="B346" s="275"/>
      <c r="C346" s="275"/>
      <c r="D346" s="275"/>
      <c r="E346" s="275"/>
      <c r="F346" s="275"/>
      <c r="G346" s="275"/>
      <c r="H346" s="275"/>
    </row>
    <row r="347" spans="1:8" ht="16.2" thickBot="1" x14ac:dyDescent="0.35"/>
    <row r="348" spans="1:8" ht="16.2" thickBot="1" x14ac:dyDescent="0.35">
      <c r="A348" s="254" t="s">
        <v>80</v>
      </c>
      <c r="B348" s="253"/>
      <c r="C348" s="253"/>
      <c r="D348" s="253"/>
      <c r="E348" s="253"/>
      <c r="F348" s="253"/>
      <c r="G348" s="246"/>
      <c r="H348" s="247"/>
    </row>
    <row r="349" spans="1:8" ht="31.2" x14ac:dyDescent="0.3">
      <c r="A349" s="42" t="s">
        <v>286</v>
      </c>
      <c r="B349" s="260" t="s">
        <v>287</v>
      </c>
      <c r="C349" s="260"/>
      <c r="D349" s="260"/>
      <c r="E349" s="260"/>
      <c r="F349" s="42"/>
    </row>
    <row r="350" spans="1:8" x14ac:dyDescent="0.3">
      <c r="A350" s="42"/>
      <c r="B350" s="42">
        <v>1</v>
      </c>
      <c r="C350" s="42">
        <v>2</v>
      </c>
      <c r="D350" s="42">
        <v>3</v>
      </c>
      <c r="E350" s="42">
        <v>4</v>
      </c>
      <c r="F350" s="44" t="s">
        <v>98</v>
      </c>
    </row>
    <row r="351" spans="1:8" x14ac:dyDescent="0.3">
      <c r="A351" s="42">
        <v>0</v>
      </c>
      <c r="B351" s="42">
        <v>7.0000000000000007E-2</v>
      </c>
      <c r="C351" s="42">
        <v>0.09</v>
      </c>
      <c r="D351" s="42">
        <v>0.06</v>
      </c>
      <c r="E351" s="42">
        <v>0.01</v>
      </c>
      <c r="F351" s="44">
        <f>SUM(B351:E351)</f>
        <v>0.23</v>
      </c>
    </row>
    <row r="352" spans="1:8" x14ac:dyDescent="0.3">
      <c r="A352" s="42">
        <v>1</v>
      </c>
      <c r="B352" s="42">
        <v>7.0000000000000007E-2</v>
      </c>
      <c r="C352" s="42">
        <v>0.06</v>
      </c>
      <c r="D352" s="42">
        <v>7.0000000000000007E-2</v>
      </c>
      <c r="E352" s="42">
        <v>0.01</v>
      </c>
      <c r="F352" s="44">
        <f>SUM(B352:E352)</f>
        <v>0.21000000000000002</v>
      </c>
    </row>
    <row r="353" spans="1:7" x14ac:dyDescent="0.3">
      <c r="A353" s="42">
        <v>2</v>
      </c>
      <c r="B353" s="42">
        <v>0.06</v>
      </c>
      <c r="C353" s="42">
        <v>7.0000000000000007E-2</v>
      </c>
      <c r="D353" s="42">
        <v>0.14000000000000001</v>
      </c>
      <c r="E353" s="42">
        <v>0.03</v>
      </c>
      <c r="F353" s="44">
        <f>SUM(B353:E353)</f>
        <v>0.30000000000000004</v>
      </c>
    </row>
    <row r="354" spans="1:7" x14ac:dyDescent="0.3">
      <c r="A354" s="42">
        <v>3</v>
      </c>
      <c r="B354" s="42">
        <v>0.02</v>
      </c>
      <c r="C354" s="42">
        <v>0.04</v>
      </c>
      <c r="D354" s="42">
        <v>0.16</v>
      </c>
      <c r="E354" s="42">
        <v>0.04</v>
      </c>
      <c r="F354" s="44">
        <f>SUM(B354:E354)</f>
        <v>0.26</v>
      </c>
    </row>
    <row r="355" spans="1:7" s="39" customFormat="1" x14ac:dyDescent="0.3">
      <c r="A355" s="44" t="s">
        <v>98</v>
      </c>
      <c r="B355" s="44">
        <f>SUM(B351:B354)</f>
        <v>0.22</v>
      </c>
      <c r="C355" s="44">
        <f>SUM(C351:C354)</f>
        <v>0.26</v>
      </c>
      <c r="D355" s="44">
        <f>SUM(D351:D354)</f>
        <v>0.43000000000000005</v>
      </c>
      <c r="E355" s="44">
        <f>SUM(E351:E354)</f>
        <v>0.09</v>
      </c>
      <c r="F355" s="44">
        <f>SUM(F351:F354)</f>
        <v>1</v>
      </c>
    </row>
    <row r="357" spans="1:7" x14ac:dyDescent="0.3">
      <c r="A357" s="42" t="s">
        <v>53</v>
      </c>
      <c r="B357" s="42" t="s">
        <v>54</v>
      </c>
      <c r="C357" s="260" t="s">
        <v>55</v>
      </c>
      <c r="D357" s="260"/>
      <c r="E357" s="260"/>
      <c r="F357" s="260"/>
      <c r="G357" s="260"/>
    </row>
    <row r="358" spans="1:7" x14ac:dyDescent="0.3">
      <c r="A358" s="43"/>
      <c r="B358" s="43"/>
      <c r="C358" s="24" t="s">
        <v>289</v>
      </c>
      <c r="D358" s="256" t="s">
        <v>297</v>
      </c>
      <c r="E358" s="256"/>
      <c r="F358" s="256"/>
      <c r="G358" s="256"/>
    </row>
    <row r="359" spans="1:7" x14ac:dyDescent="0.3">
      <c r="A359" s="41">
        <f>B355*B350+C355*C350+D355*D350+E355*E350</f>
        <v>2.39</v>
      </c>
      <c r="B359" s="41">
        <f>F351*A351+F352*A352+F353*A353+F354*A354</f>
        <v>1.59</v>
      </c>
      <c r="C359" s="24">
        <v>0</v>
      </c>
    </row>
    <row r="360" spans="1:7" x14ac:dyDescent="0.3">
      <c r="A360" s="35"/>
      <c r="B360" s="35"/>
      <c r="C360" s="24">
        <v>1</v>
      </c>
    </row>
    <row r="361" spans="1:7" x14ac:dyDescent="0.3">
      <c r="A361" s="35"/>
      <c r="B361" s="35"/>
      <c r="C361" s="24">
        <v>2</v>
      </c>
    </row>
    <row r="362" spans="1:7" x14ac:dyDescent="0.3">
      <c r="A362" s="35"/>
      <c r="B362" s="35"/>
      <c r="C362" s="24">
        <v>3</v>
      </c>
    </row>
    <row r="363" spans="1:7" x14ac:dyDescent="0.3">
      <c r="A363" s="35"/>
      <c r="B363" s="35"/>
    </row>
    <row r="365" spans="1:7" x14ac:dyDescent="0.3">
      <c r="A365" s="260" t="s">
        <v>55</v>
      </c>
      <c r="B365" s="260"/>
      <c r="C365" s="260" t="s">
        <v>56</v>
      </c>
      <c r="D365" s="260"/>
      <c r="E365" s="260" t="s">
        <v>138</v>
      </c>
      <c r="F365" s="260"/>
      <c r="G365" s="260"/>
    </row>
    <row r="366" spans="1:7" ht="16.2" customHeight="1" x14ac:dyDescent="0.3">
      <c r="A366" s="43" t="s">
        <v>289</v>
      </c>
      <c r="B366" s="43" t="s">
        <v>288</v>
      </c>
      <c r="C366" s="256" t="s">
        <v>290</v>
      </c>
      <c r="D366" s="256"/>
      <c r="E366" s="24">
        <f>F351*B355</f>
        <v>5.0599999999999999E-2</v>
      </c>
      <c r="F366" s="40" t="s">
        <v>295</v>
      </c>
      <c r="G366" s="24">
        <f>B351</f>
        <v>7.0000000000000007E-2</v>
      </c>
    </row>
    <row r="367" spans="1:7" x14ac:dyDescent="0.3">
      <c r="A367" s="41">
        <v>0</v>
      </c>
      <c r="B367" s="41">
        <f>D351/$D$355</f>
        <v>0.1395348837209302</v>
      </c>
      <c r="C367" s="24" t="s">
        <v>291</v>
      </c>
      <c r="D367" s="24">
        <f>B355*B350+C355*C350+D355*D350+E355*E350</f>
        <v>2.39</v>
      </c>
      <c r="E367" s="24">
        <f>F352*C355</f>
        <v>5.460000000000001E-2</v>
      </c>
      <c r="F367" s="40" t="s">
        <v>295</v>
      </c>
      <c r="G367" s="24">
        <f>C352</f>
        <v>0.06</v>
      </c>
    </row>
    <row r="368" spans="1:7" x14ac:dyDescent="0.3">
      <c r="A368" s="41">
        <v>1</v>
      </c>
      <c r="B368" s="41">
        <f>D352/$D$355</f>
        <v>0.16279069767441859</v>
      </c>
      <c r="C368" s="24" t="s">
        <v>292</v>
      </c>
      <c r="D368" s="24">
        <f>F351*A351+F352*A352+F353*A353+F354*A354</f>
        <v>1.59</v>
      </c>
      <c r="E368" s="24">
        <f>F353*D355</f>
        <v>0.12900000000000003</v>
      </c>
      <c r="F368" s="40" t="s">
        <v>295</v>
      </c>
      <c r="G368" s="24">
        <f>D353</f>
        <v>0.14000000000000001</v>
      </c>
    </row>
    <row r="369" spans="1:7" x14ac:dyDescent="0.3">
      <c r="A369" s="41">
        <v>2</v>
      </c>
      <c r="B369" s="41">
        <f>D353/$D$355</f>
        <v>0.32558139534883718</v>
      </c>
      <c r="C369" s="24" t="s">
        <v>294</v>
      </c>
      <c r="D369" s="24">
        <f>B351*B350*A351+B352*B350*A352+B353*B350*A353+B354*B350*A354+C351*C350*A351+C352*C350*A352+C353*C350*A353+C354*C350*A354+D351*D350*A351+D352*D350*A352+D353*D350*A353+D354*D350*A354+E351*E350*A351+E352*E350*A352+E353*E350*A353+E354*E350*A354</f>
        <v>4.1400000000000006</v>
      </c>
      <c r="E369" s="24">
        <f>F354*E355</f>
        <v>2.3400000000000001E-2</v>
      </c>
      <c r="F369" s="40" t="s">
        <v>295</v>
      </c>
      <c r="G369" s="24">
        <f>E354</f>
        <v>0.04</v>
      </c>
    </row>
    <row r="370" spans="1:7" ht="15.6" customHeight="1" x14ac:dyDescent="0.3">
      <c r="A370" s="41">
        <v>3</v>
      </c>
      <c r="B370" s="41">
        <f>D354/$D$355</f>
        <v>0.37209302325581389</v>
      </c>
      <c r="C370" s="24" t="s">
        <v>293</v>
      </c>
      <c r="D370" s="41">
        <f>D369-D367*D368</f>
        <v>0.33990000000000009</v>
      </c>
      <c r="E370" s="265" t="s">
        <v>296</v>
      </c>
      <c r="F370" s="266"/>
      <c r="G370" s="267"/>
    </row>
    <row r="371" spans="1:7" x14ac:dyDescent="0.3">
      <c r="A371" s="41" t="s">
        <v>98</v>
      </c>
      <c r="B371" s="41">
        <f>SUM(B367:B370)</f>
        <v>1</v>
      </c>
      <c r="E371" s="268"/>
      <c r="F371" s="269"/>
      <c r="G371" s="270"/>
    </row>
    <row r="372" spans="1:7" ht="15.6" customHeight="1" x14ac:dyDescent="0.3">
      <c r="A372" s="244" t="s">
        <v>298</v>
      </c>
      <c r="B372" s="252"/>
      <c r="C372" s="252"/>
      <c r="E372" s="268"/>
      <c r="F372" s="269"/>
      <c r="G372" s="270"/>
    </row>
    <row r="373" spans="1:7" x14ac:dyDescent="0.3">
      <c r="A373" s="244"/>
      <c r="B373" s="252"/>
      <c r="C373" s="252"/>
      <c r="E373" s="268"/>
      <c r="F373" s="269"/>
      <c r="G373" s="270"/>
    </row>
    <row r="374" spans="1:7" x14ac:dyDescent="0.3">
      <c r="A374" s="244"/>
      <c r="B374" s="252"/>
      <c r="C374" s="252"/>
      <c r="E374" s="268"/>
      <c r="F374" s="269"/>
      <c r="G374" s="270"/>
    </row>
    <row r="375" spans="1:7" x14ac:dyDescent="0.3">
      <c r="A375" s="244"/>
      <c r="B375" s="252"/>
      <c r="C375" s="252"/>
      <c r="E375" s="271"/>
      <c r="F375" s="272"/>
      <c r="G375" s="273"/>
    </row>
    <row r="376" spans="1:7" x14ac:dyDescent="0.3">
      <c r="A376" s="244"/>
      <c r="B376" s="252"/>
      <c r="C376" s="252"/>
    </row>
    <row r="377" spans="1:7" x14ac:dyDescent="0.3">
      <c r="A377" s="244"/>
      <c r="B377" s="252"/>
      <c r="C377" s="252"/>
    </row>
    <row r="378" spans="1:7" x14ac:dyDescent="0.3">
      <c r="A378" s="244"/>
      <c r="B378" s="252"/>
      <c r="C378" s="252"/>
    </row>
    <row r="379" spans="1:7" x14ac:dyDescent="0.3">
      <c r="A379" s="244"/>
      <c r="B379" s="252"/>
      <c r="C379" s="252"/>
    </row>
    <row r="380" spans="1:7" x14ac:dyDescent="0.3">
      <c r="A380" s="244"/>
      <c r="B380" s="252"/>
      <c r="C380" s="252"/>
    </row>
    <row r="381" spans="1:7" x14ac:dyDescent="0.3">
      <c r="A381" s="244"/>
      <c r="B381" s="252"/>
      <c r="C381" s="252"/>
    </row>
    <row r="382" spans="1:7" x14ac:dyDescent="0.3">
      <c r="A382" s="244"/>
      <c r="B382" s="252"/>
      <c r="C382" s="252"/>
    </row>
    <row r="383" spans="1:7" x14ac:dyDescent="0.3">
      <c r="A383" s="244"/>
      <c r="B383" s="252"/>
      <c r="C383" s="252"/>
    </row>
    <row r="384" spans="1:7" x14ac:dyDescent="0.3">
      <c r="A384" s="244"/>
      <c r="B384" s="252"/>
      <c r="C384" s="252"/>
    </row>
    <row r="385" spans="1:8" x14ac:dyDescent="0.3">
      <c r="A385" s="244"/>
      <c r="B385" s="252"/>
      <c r="C385" s="252"/>
    </row>
    <row r="386" spans="1:8" ht="16.2" thickBot="1" x14ac:dyDescent="0.35"/>
    <row r="387" spans="1:8" ht="16.2" thickBot="1" x14ac:dyDescent="0.35">
      <c r="A387" s="254" t="s">
        <v>81</v>
      </c>
      <c r="B387" s="253"/>
      <c r="C387" s="253"/>
      <c r="D387" s="253"/>
      <c r="E387" s="253"/>
      <c r="F387" s="246"/>
      <c r="G387" s="246"/>
      <c r="H387" s="247"/>
    </row>
    <row r="388" spans="1:8" ht="31.2" x14ac:dyDescent="0.3">
      <c r="A388" s="42" t="s">
        <v>299</v>
      </c>
      <c r="B388" s="260" t="s">
        <v>300</v>
      </c>
      <c r="C388" s="260"/>
      <c r="D388" s="260"/>
      <c r="E388" s="42"/>
    </row>
    <row r="389" spans="1:8" x14ac:dyDescent="0.3">
      <c r="A389" s="42"/>
      <c r="B389" s="42">
        <v>0</v>
      </c>
      <c r="C389" s="42">
        <v>1</v>
      </c>
      <c r="D389" s="42">
        <v>2</v>
      </c>
      <c r="E389" s="42" t="s">
        <v>98</v>
      </c>
    </row>
    <row r="390" spans="1:8" x14ac:dyDescent="0.3">
      <c r="A390" s="42">
        <v>3</v>
      </c>
      <c r="B390" s="42">
        <v>0.09</v>
      </c>
      <c r="C390" s="42">
        <v>0.14000000000000001</v>
      </c>
      <c r="D390" s="42">
        <v>7.0000000000000007E-2</v>
      </c>
      <c r="E390" s="42">
        <f>SUM(B390:D390)</f>
        <v>0.30000000000000004</v>
      </c>
    </row>
    <row r="391" spans="1:8" x14ac:dyDescent="0.3">
      <c r="A391" s="42">
        <v>4</v>
      </c>
      <c r="B391" s="42">
        <v>7.0000000000000007E-2</v>
      </c>
      <c r="C391" s="42">
        <v>0.23</v>
      </c>
      <c r="D391" s="42">
        <v>0.16</v>
      </c>
      <c r="E391" s="42">
        <f>SUM(B391:D391)</f>
        <v>0.46000000000000008</v>
      </c>
    </row>
    <row r="392" spans="1:8" x14ac:dyDescent="0.3">
      <c r="A392" s="42">
        <v>5</v>
      </c>
      <c r="B392" s="42">
        <v>0.03</v>
      </c>
      <c r="C392" s="42">
        <v>0.1</v>
      </c>
      <c r="D392" s="42">
        <v>0.11</v>
      </c>
      <c r="E392" s="42">
        <f>SUM(B392:D392)</f>
        <v>0.24</v>
      </c>
    </row>
    <row r="393" spans="1:8" x14ac:dyDescent="0.3">
      <c r="A393" s="42" t="s">
        <v>98</v>
      </c>
      <c r="B393" s="42">
        <f>SUM(B390:B392)</f>
        <v>0.19</v>
      </c>
      <c r="C393" s="42">
        <f>SUM(C390:C392)</f>
        <v>0.47</v>
      </c>
      <c r="D393" s="42">
        <f>SUM(D390:D392)</f>
        <v>0.34</v>
      </c>
      <c r="E393" s="42">
        <f>SUM(B393:D393)</f>
        <v>1</v>
      </c>
    </row>
    <row r="394" spans="1:8" ht="16.2" thickBot="1" x14ac:dyDescent="0.35"/>
    <row r="395" spans="1:8" ht="16.2" thickBot="1" x14ac:dyDescent="0.35">
      <c r="A395" s="240" t="s">
        <v>53</v>
      </c>
      <c r="B395" s="241"/>
      <c r="C395" s="241"/>
      <c r="D395" s="241"/>
      <c r="E395" s="240" t="s">
        <v>54</v>
      </c>
      <c r="F395" s="241"/>
      <c r="G395" s="241"/>
      <c r="H395" s="242"/>
    </row>
    <row r="396" spans="1:8" ht="31.2" customHeight="1" x14ac:dyDescent="0.3">
      <c r="A396" s="46" t="s">
        <v>299</v>
      </c>
      <c r="B396" s="250" t="s">
        <v>300</v>
      </c>
      <c r="C396" s="250"/>
      <c r="D396" s="46"/>
      <c r="E396" s="43" t="s">
        <v>299</v>
      </c>
      <c r="F396" s="43" t="s">
        <v>301</v>
      </c>
      <c r="G396" s="264" t="s">
        <v>302</v>
      </c>
      <c r="H396" s="264"/>
    </row>
    <row r="397" spans="1:8" x14ac:dyDescent="0.3">
      <c r="A397" s="42"/>
      <c r="B397" s="42">
        <v>0</v>
      </c>
      <c r="C397" s="42">
        <v>1</v>
      </c>
      <c r="D397" s="44" t="s">
        <v>98</v>
      </c>
      <c r="E397" s="41"/>
      <c r="F397" s="41">
        <v>0</v>
      </c>
      <c r="G397" s="249"/>
      <c r="H397" s="249"/>
    </row>
    <row r="398" spans="1:8" x14ac:dyDescent="0.3">
      <c r="A398" s="42">
        <v>3</v>
      </c>
      <c r="B398" s="42">
        <v>0.09</v>
      </c>
      <c r="C398" s="42">
        <v>0.14000000000000001</v>
      </c>
      <c r="D398" s="44">
        <f>SUM(B398:C398)</f>
        <v>0.23</v>
      </c>
      <c r="E398" s="41">
        <v>3</v>
      </c>
      <c r="F398" s="41">
        <f>B390/$B$393</f>
        <v>0.47368421052631576</v>
      </c>
      <c r="G398" s="249"/>
      <c r="H398" s="249"/>
    </row>
    <row r="399" spans="1:8" x14ac:dyDescent="0.3">
      <c r="A399" s="42">
        <v>4</v>
      </c>
      <c r="B399" s="42">
        <v>7.0000000000000007E-2</v>
      </c>
      <c r="C399" s="42">
        <v>0.23</v>
      </c>
      <c r="D399" s="44">
        <f>SUM(B399:C399)</f>
        <v>0.30000000000000004</v>
      </c>
      <c r="E399" s="41">
        <v>4</v>
      </c>
      <c r="F399" s="41">
        <f>B391/$B$393</f>
        <v>0.36842105263157898</v>
      </c>
      <c r="G399" s="249"/>
      <c r="H399" s="249"/>
    </row>
    <row r="400" spans="1:8" s="39" customFormat="1" ht="16.2" x14ac:dyDescent="0.3">
      <c r="A400" s="44" t="s">
        <v>98</v>
      </c>
      <c r="B400" s="44">
        <f>SUM(B398:B399)</f>
        <v>0.16</v>
      </c>
      <c r="C400" s="44">
        <f>SUM(C398:C399)</f>
        <v>0.37</v>
      </c>
      <c r="D400" s="45">
        <f>SUM(B400:C400)</f>
        <v>0.53</v>
      </c>
      <c r="E400" s="41">
        <v>5</v>
      </c>
      <c r="F400" s="41">
        <f>B392/$B$393</f>
        <v>0.15789473684210525</v>
      </c>
      <c r="G400" s="249"/>
      <c r="H400" s="249"/>
    </row>
    <row r="401" spans="1:8" x14ac:dyDescent="0.3">
      <c r="E401" s="41" t="s">
        <v>98</v>
      </c>
      <c r="F401" s="41">
        <f>SUM(F398:F400)</f>
        <v>1</v>
      </c>
      <c r="G401" s="249"/>
      <c r="H401" s="249"/>
    </row>
    <row r="404" spans="1:8" x14ac:dyDescent="0.3">
      <c r="A404" s="41" t="s">
        <v>297</v>
      </c>
      <c r="B404" s="41" t="s">
        <v>303</v>
      </c>
    </row>
    <row r="405" spans="1:8" x14ac:dyDescent="0.3">
      <c r="A405" s="41">
        <v>0</v>
      </c>
      <c r="B405" s="41">
        <f>B392/$E$392</f>
        <v>0.125</v>
      </c>
    </row>
    <row r="406" spans="1:8" x14ac:dyDescent="0.3">
      <c r="A406" s="41">
        <v>1</v>
      </c>
      <c r="B406" s="41">
        <f>B393/$E$392</f>
        <v>0.79166666666666674</v>
      </c>
    </row>
    <row r="407" spans="1:8" x14ac:dyDescent="0.3">
      <c r="A407" s="41">
        <v>2</v>
      </c>
      <c r="B407" s="41">
        <f>B394/$E$392</f>
        <v>0</v>
      </c>
    </row>
    <row r="410" spans="1:8" ht="16.2" thickBot="1" x14ac:dyDescent="0.35"/>
    <row r="411" spans="1:8" ht="16.2" thickBot="1" x14ac:dyDescent="0.35">
      <c r="A411" s="245" t="s">
        <v>123</v>
      </c>
      <c r="B411" s="246"/>
      <c r="C411" s="246"/>
      <c r="D411" s="246"/>
      <c r="E411" s="246"/>
      <c r="F411" s="246"/>
      <c r="G411" s="246"/>
      <c r="H411" s="247"/>
    </row>
    <row r="412" spans="1:8" x14ac:dyDescent="0.25">
      <c r="A412" s="24" t="s">
        <v>53</v>
      </c>
      <c r="B412" s="24" t="s">
        <v>54</v>
      </c>
      <c r="C412" s="24" t="s">
        <v>55</v>
      </c>
      <c r="F412" s="39"/>
      <c r="G412" s="47"/>
    </row>
    <row r="413" spans="1:8" x14ac:dyDescent="0.3">
      <c r="A413" s="41">
        <f>BINOMDIST(0,6,0.05,0)</f>
        <v>0.73509189062500002</v>
      </c>
      <c r="B413" s="41">
        <f>BINOMDIST(1,6,0.05,0)</f>
        <v>0.23213428125000005</v>
      </c>
      <c r="C413" s="41">
        <f>1-BINOMDIST(1,6,0.05,1)</f>
        <v>3.2773828125000071E-2</v>
      </c>
    </row>
    <row r="414" spans="1:8" x14ac:dyDescent="0.3">
      <c r="A414" s="41">
        <f>COMBIN(6,0)*(0.05^0)*(0.95^6)</f>
        <v>0.73509189062499991</v>
      </c>
      <c r="B414" s="41">
        <f>COMBIN(6,1)*(0.05^1)*(0.95^5)</f>
        <v>0.23213428125000002</v>
      </c>
      <c r="C414" s="41">
        <f>1-(A413+B413)</f>
        <v>3.277382812499996E-2</v>
      </c>
    </row>
    <row r="415" spans="1:8" ht="16.2" thickBot="1" x14ac:dyDescent="0.35"/>
    <row r="416" spans="1:8" ht="16.2" thickBot="1" x14ac:dyDescent="0.35">
      <c r="A416" s="245" t="s">
        <v>211</v>
      </c>
      <c r="B416" s="246"/>
      <c r="C416" s="246"/>
      <c r="D416" s="246"/>
      <c r="E416" s="246"/>
      <c r="F416" s="246"/>
      <c r="G416" s="246"/>
      <c r="H416" s="247"/>
    </row>
    <row r="417" spans="1:8" x14ac:dyDescent="0.3">
      <c r="A417" s="24" t="s">
        <v>53</v>
      </c>
      <c r="B417" s="24" t="s">
        <v>54</v>
      </c>
    </row>
    <row r="418" spans="1:8" x14ac:dyDescent="0.3">
      <c r="A418" s="41">
        <f>1-BINOMDIST(1,5,0.25,1)</f>
        <v>0.3671875</v>
      </c>
      <c r="B418" s="41">
        <f>1-BINOMDIST(2,5,0.25,1)</f>
        <v>0.103515625</v>
      </c>
    </row>
    <row r="419" spans="1:8" x14ac:dyDescent="0.3">
      <c r="A419" s="41">
        <f>1-(COMBIN(5,0)*(0.25^0)*(0.75^5)+COMBIN(5,1)*(0.25^1)*(0.75^4))</f>
        <v>0.3671875</v>
      </c>
      <c r="B419" s="41">
        <f>1-(COMBIN(5,0)*(0.25^0)*(0.75^5)+COMBIN(5,1)*(0.25^1)*(0.75^4)+COMBIN(5,2)*(0.25^2)*(0.75^3))</f>
        <v>0.103515625</v>
      </c>
    </row>
    <row r="420" spans="1:8" ht="16.2" thickBot="1" x14ac:dyDescent="0.35"/>
    <row r="421" spans="1:8" ht="16.2" thickBot="1" x14ac:dyDescent="0.35">
      <c r="A421" s="245" t="s">
        <v>304</v>
      </c>
      <c r="B421" s="246"/>
      <c r="C421" s="246"/>
      <c r="D421" s="246"/>
      <c r="E421" s="246"/>
      <c r="F421" s="246"/>
      <c r="G421" s="246"/>
      <c r="H421" s="247"/>
    </row>
    <row r="422" spans="1:8" x14ac:dyDescent="0.3">
      <c r="A422" s="24" t="s">
        <v>53</v>
      </c>
      <c r="B422" s="24" t="s">
        <v>54</v>
      </c>
    </row>
    <row r="423" spans="1:8" x14ac:dyDescent="0.3">
      <c r="A423" s="41">
        <f>1-(COMBIN(6,0)*(0.7^0)*(0.3^6)+COMBIN(6,1)*(0.7^1)*(0.3^5))</f>
        <v>0.98906499999999997</v>
      </c>
      <c r="B423" s="41">
        <f>1-(COMBIN(6,5)*(0.7^5)*(0.3^1)+COMBIN(6,6)*(0.7^6)*(0.3^0))</f>
        <v>0.57982500000000015</v>
      </c>
    </row>
    <row r="424" spans="1:8" x14ac:dyDescent="0.3">
      <c r="A424" s="41">
        <f>1-BINOMDIST(1,6,0.7,1)</f>
        <v>0.98906499999999997</v>
      </c>
      <c r="B424" s="41">
        <f>BINOMDIST(4,6,0.7,1)</f>
        <v>0.57982500000000015</v>
      </c>
    </row>
    <row r="425" spans="1:8" ht="16.2" thickBot="1" x14ac:dyDescent="0.35"/>
    <row r="426" spans="1:8" ht="16.2" thickBot="1" x14ac:dyDescent="0.35">
      <c r="A426" s="245" t="s">
        <v>305</v>
      </c>
      <c r="B426" s="246"/>
      <c r="C426" s="246"/>
      <c r="D426" s="246"/>
      <c r="E426" s="246"/>
      <c r="F426" s="246"/>
      <c r="G426" s="246"/>
      <c r="H426" s="247"/>
    </row>
    <row r="427" spans="1:8" x14ac:dyDescent="0.3">
      <c r="A427" s="41">
        <f>1-BINOMDIST(3,7,0.5,1)</f>
        <v>0.50000000000000011</v>
      </c>
    </row>
    <row r="428" spans="1:8" x14ac:dyDescent="0.3">
      <c r="A428" s="41">
        <f>1-((COMBIN(7,0)*0.5^0*0.5^7+COMBIN(7,1)*0.5^1*0.5^6+COMBIN(7,2)*0.5^2*0.5^5+COMBIN(7,3)*0.5^3*0.5^4))</f>
        <v>0.5</v>
      </c>
    </row>
    <row r="429" spans="1:8" ht="16.2" thickBot="1" x14ac:dyDescent="0.35"/>
    <row r="430" spans="1:8" ht="16.2" thickBot="1" x14ac:dyDescent="0.35">
      <c r="A430" s="245" t="s">
        <v>126</v>
      </c>
      <c r="B430" s="246"/>
      <c r="C430" s="246"/>
      <c r="D430" s="246"/>
      <c r="E430" s="246"/>
      <c r="F430" s="246"/>
      <c r="G430" s="246"/>
      <c r="H430" s="247"/>
    </row>
    <row r="431" spans="1:8" x14ac:dyDescent="0.3">
      <c r="A431" s="24" t="s">
        <v>53</v>
      </c>
      <c r="B431" s="24" t="s">
        <v>54</v>
      </c>
      <c r="C431" s="24" t="s">
        <v>55</v>
      </c>
    </row>
    <row r="432" spans="1:8" x14ac:dyDescent="0.3">
      <c r="A432" s="48">
        <f>BINOMDIST(6,6,0.15,0)</f>
        <v>1.1390625000000001E-5</v>
      </c>
      <c r="B432" s="41">
        <f>BINOMDIST(0,6,0.15,0)</f>
        <v>0.3771495156250001</v>
      </c>
      <c r="C432" s="41">
        <f>1-BINOMDIST(1,6,0.15,1)</f>
        <v>0.22351570312500002</v>
      </c>
    </row>
    <row r="433" spans="1:8" x14ac:dyDescent="0.3">
      <c r="A433" s="48">
        <f>COMBIN(6,0)*0.15^6*0.85^0</f>
        <v>1.1390624999999999E-5</v>
      </c>
      <c r="B433" s="41">
        <f>COMBIN(6,0)*0.85^0*0.85^6</f>
        <v>0.37714951562499988</v>
      </c>
      <c r="C433" s="41">
        <f>1-(B433+COMBIN(6,1)*0.15^1*0.85^5)</f>
        <v>0.22351570312500024</v>
      </c>
    </row>
    <row r="434" spans="1:8" ht="16.2" thickBot="1" x14ac:dyDescent="0.35"/>
    <row r="435" spans="1:8" ht="16.2" thickBot="1" x14ac:dyDescent="0.35">
      <c r="A435" s="245" t="s">
        <v>306</v>
      </c>
      <c r="B435" s="246"/>
      <c r="C435" s="246"/>
      <c r="D435" s="246"/>
      <c r="E435" s="246"/>
      <c r="F435" s="246"/>
      <c r="G435" s="246"/>
      <c r="H435" s="247"/>
    </row>
    <row r="436" spans="1:8" x14ac:dyDescent="0.3">
      <c r="A436" s="24" t="s">
        <v>53</v>
      </c>
      <c r="B436" s="24" t="s">
        <v>54</v>
      </c>
      <c r="C436" s="24" t="s">
        <v>55</v>
      </c>
      <c r="D436" s="24" t="s">
        <v>56</v>
      </c>
      <c r="E436" s="24" t="s">
        <v>138</v>
      </c>
    </row>
    <row r="437" spans="1:8" x14ac:dyDescent="0.3">
      <c r="A437" s="41">
        <f>BINOMDIST(5,5,0.4,0)</f>
        <v>1.0240000000000008E-2</v>
      </c>
      <c r="B437" s="41">
        <f>BINOMDIST(3,5,0.4,0)</f>
        <v>0.23039999999999999</v>
      </c>
      <c r="C437" s="41">
        <f>BINOMDIST(4,4,0.4,0)</f>
        <v>2.5600000000000008E-2</v>
      </c>
      <c r="D437" s="41">
        <f>5*0.4</f>
        <v>2</v>
      </c>
      <c r="E437" s="41">
        <f>D437-1</f>
        <v>1</v>
      </c>
    </row>
    <row r="438" spans="1:8" x14ac:dyDescent="0.3">
      <c r="A438" s="41">
        <f>COMBIN(5,5)*0.4^5*0.6^0</f>
        <v>1.0240000000000006E-2</v>
      </c>
      <c r="B438" s="41">
        <f>COMBIN(5,3)*0.4^3*0.6^2</f>
        <v>0.23040000000000005</v>
      </c>
      <c r="C438" s="43">
        <f>COMBIN(4,4)*0.4^4*0.6^0</f>
        <v>2.5600000000000012E-2</v>
      </c>
    </row>
    <row r="439" spans="1:8" ht="16.2" thickBot="1" x14ac:dyDescent="0.35"/>
    <row r="440" spans="1:8" ht="16.2" thickBot="1" x14ac:dyDescent="0.35">
      <c r="A440" s="245" t="s">
        <v>143</v>
      </c>
      <c r="B440" s="246"/>
      <c r="C440" s="246"/>
      <c r="D440" s="246"/>
      <c r="E440" s="246"/>
      <c r="F440" s="246"/>
      <c r="G440" s="246"/>
      <c r="H440" s="247"/>
    </row>
    <row r="441" spans="1:8" x14ac:dyDescent="0.3">
      <c r="A441" s="24" t="s">
        <v>307</v>
      </c>
      <c r="B441" s="24" t="s">
        <v>217</v>
      </c>
    </row>
    <row r="442" spans="1:8" x14ac:dyDescent="0.3">
      <c r="A442" s="24">
        <v>6</v>
      </c>
      <c r="B442" s="24">
        <v>0.25</v>
      </c>
    </row>
    <row r="443" spans="1:8" x14ac:dyDescent="0.3">
      <c r="A443" s="24">
        <v>7</v>
      </c>
      <c r="B443" s="24">
        <v>0.35</v>
      </c>
    </row>
    <row r="444" spans="1:8" x14ac:dyDescent="0.3">
      <c r="A444" s="24">
        <v>8</v>
      </c>
      <c r="B444" s="24">
        <v>0.25</v>
      </c>
    </row>
    <row r="445" spans="1:8" x14ac:dyDescent="0.3">
      <c r="A445" s="24">
        <v>9</v>
      </c>
      <c r="B445" s="24">
        <v>0.1</v>
      </c>
      <c r="C445" s="24">
        <f>BINOMDIST(0,9,0.2,0)</f>
        <v>0.13421772800000001</v>
      </c>
      <c r="D445" s="24">
        <f>B445*C445</f>
        <v>1.3421772800000002E-2</v>
      </c>
    </row>
    <row r="446" spans="1:8" x14ac:dyDescent="0.3">
      <c r="A446" s="24">
        <v>10</v>
      </c>
      <c r="B446" s="24">
        <v>0.05</v>
      </c>
      <c r="C446" s="24">
        <f>BINOMDIST(1,10,0.2,1)</f>
        <v>0.3758096384000002</v>
      </c>
      <c r="D446" s="24">
        <f>B446*C446</f>
        <v>1.8790481920000011E-2</v>
      </c>
    </row>
    <row r="447" spans="1:8" ht="16.2" x14ac:dyDescent="0.3">
      <c r="A447" s="24" t="s">
        <v>98</v>
      </c>
      <c r="B447" s="24">
        <f>SUM(B442:B446)</f>
        <v>1</v>
      </c>
      <c r="D447" s="45">
        <f>SUM(D445:D446)</f>
        <v>3.2212254720000014E-2</v>
      </c>
    </row>
    <row r="448" spans="1:8" ht="16.2" thickBot="1" x14ac:dyDescent="0.35"/>
    <row r="449" spans="1:12" ht="16.2" thickBot="1" x14ac:dyDescent="0.35">
      <c r="A449" s="245" t="s">
        <v>308</v>
      </c>
      <c r="B449" s="246"/>
      <c r="C449" s="246"/>
      <c r="D449" s="246"/>
      <c r="E449" s="246"/>
      <c r="F449" s="246"/>
      <c r="G449" s="246"/>
      <c r="H449" s="247"/>
    </row>
    <row r="450" spans="1:12" ht="16.2" thickBot="1" x14ac:dyDescent="0.35">
      <c r="A450" s="49" t="s">
        <v>53</v>
      </c>
      <c r="B450" s="261" t="s">
        <v>54</v>
      </c>
      <c r="C450" s="262"/>
      <c r="D450" s="262"/>
      <c r="E450" s="262"/>
      <c r="F450" s="262"/>
      <c r="G450" s="263"/>
    </row>
    <row r="451" spans="1:12" ht="31.2" x14ac:dyDescent="0.3">
      <c r="A451" s="50">
        <f>1-BINOMDIST(1,4,0.4,1)</f>
        <v>0.52480000000000004</v>
      </c>
      <c r="C451" s="24" t="s">
        <v>309</v>
      </c>
      <c r="D451" s="24" t="s">
        <v>217</v>
      </c>
      <c r="E451" s="24" t="s">
        <v>310</v>
      </c>
      <c r="F451" s="24" t="s">
        <v>311</v>
      </c>
      <c r="G451" s="1" t="s">
        <v>135</v>
      </c>
    </row>
    <row r="452" spans="1:12" ht="16.2" x14ac:dyDescent="0.3">
      <c r="A452" s="45">
        <f>COMBIN(4,2)*0.4^2*0.6^2+COMBIN(4,3)*0.4^3*0.6^1+COMBIN(4,4)*0.4^4*0.6^0</f>
        <v>0.52480000000000016</v>
      </c>
      <c r="C452" s="24">
        <v>0</v>
      </c>
      <c r="D452" s="24">
        <f>BINOMDIST(0,4,0.4,0)</f>
        <v>0.12959999999999999</v>
      </c>
      <c r="E452" s="24">
        <v>0</v>
      </c>
      <c r="F452" s="24">
        <f>D452*E452</f>
        <v>0</v>
      </c>
      <c r="G452" s="24">
        <f>D452*(F458-C452)^2</f>
        <v>1.3271040000000003</v>
      </c>
    </row>
    <row r="453" spans="1:12" x14ac:dyDescent="0.3">
      <c r="C453" s="24">
        <v>1</v>
      </c>
      <c r="D453" s="24">
        <f>BINOMDIST(1,4,0.4,0)</f>
        <v>0.34559999999999991</v>
      </c>
      <c r="E453" s="24">
        <v>2</v>
      </c>
      <c r="F453" s="24">
        <f>D453*E453</f>
        <v>0.69119999999999981</v>
      </c>
      <c r="G453" s="24">
        <f>D453*(F459-C453)^2</f>
        <v>0.34559999999999991</v>
      </c>
    </row>
    <row r="454" spans="1:12" x14ac:dyDescent="0.3">
      <c r="C454" s="24">
        <v>2</v>
      </c>
      <c r="D454" s="24">
        <f>BINOMDIST(2,4,0.4,0)</f>
        <v>0.34560000000000002</v>
      </c>
      <c r="E454" s="24">
        <v>4</v>
      </c>
      <c r="F454" s="24">
        <f>D454*E454</f>
        <v>1.3824000000000001</v>
      </c>
      <c r="G454" s="24">
        <f>D454*(F460-C454)^2</f>
        <v>1.3824000000000001</v>
      </c>
      <c r="L454" s="1"/>
    </row>
    <row r="455" spans="1:12" x14ac:dyDescent="0.3">
      <c r="C455" s="24">
        <v>3</v>
      </c>
      <c r="D455" s="24">
        <f>BINOMDIST(3,4,0.4,0)</f>
        <v>0.15359999999999996</v>
      </c>
      <c r="E455" s="24">
        <v>6</v>
      </c>
      <c r="F455" s="24">
        <f>D455*E455</f>
        <v>0.92159999999999975</v>
      </c>
      <c r="G455" s="24">
        <f>D455*(F461-C455)^2</f>
        <v>1.3823999999999996</v>
      </c>
    </row>
    <row r="456" spans="1:12" x14ac:dyDescent="0.3">
      <c r="C456" s="24">
        <v>4</v>
      </c>
      <c r="D456" s="24">
        <f>BINOMDIST(4,4,0.4,0)</f>
        <v>2.5600000000000008E-2</v>
      </c>
      <c r="E456" s="24">
        <v>8</v>
      </c>
      <c r="F456" s="24">
        <f>D456*E456</f>
        <v>0.20480000000000007</v>
      </c>
      <c r="G456" s="24">
        <f>D456*(F462-C456)^2</f>
        <v>0.40960000000000013</v>
      </c>
    </row>
    <row r="457" spans="1:12" x14ac:dyDescent="0.3">
      <c r="B457" s="24" t="s">
        <v>98</v>
      </c>
      <c r="D457" s="24">
        <f>SUM(D452:D456)</f>
        <v>0.99999999999999989</v>
      </c>
      <c r="F457" s="24">
        <f>SUM(F452:F456)</f>
        <v>3.1999999999999997</v>
      </c>
      <c r="G457" s="24">
        <f>SUM(G452:G456)</f>
        <v>4.8471039999999999</v>
      </c>
    </row>
    <row r="458" spans="1:12" ht="16.2" x14ac:dyDescent="0.3">
      <c r="B458" s="24" t="s">
        <v>3</v>
      </c>
      <c r="F458" s="45">
        <f>F457/D457</f>
        <v>3.2</v>
      </c>
    </row>
    <row r="459" spans="1:12" x14ac:dyDescent="0.3">
      <c r="B459" s="24" t="s">
        <v>134</v>
      </c>
      <c r="G459" s="24">
        <f>G457/D457</f>
        <v>4.8471040000000007</v>
      </c>
    </row>
    <row r="460" spans="1:12" ht="31.2" x14ac:dyDescent="0.3">
      <c r="B460" s="24" t="s">
        <v>4</v>
      </c>
      <c r="G460" s="45">
        <f>SQRT(G459)</f>
        <v>2.2016139534441548</v>
      </c>
      <c r="L460" s="24">
        <f>2000*0.032*(1-0.032)</f>
        <v>61.951999999999998</v>
      </c>
    </row>
    <row r="461" spans="1:12" ht="16.2" thickBot="1" x14ac:dyDescent="0.35">
      <c r="L461" s="24">
        <f>SQRT(L460)</f>
        <v>7.8709592807992594</v>
      </c>
    </row>
    <row r="462" spans="1:12" ht="16.2" thickBot="1" x14ac:dyDescent="0.35">
      <c r="A462" s="245" t="s">
        <v>156</v>
      </c>
      <c r="B462" s="246"/>
      <c r="C462" s="246"/>
      <c r="D462" s="246"/>
      <c r="E462" s="246"/>
      <c r="F462" s="246"/>
      <c r="G462" s="246"/>
      <c r="H462" s="247"/>
    </row>
    <row r="463" spans="1:12" x14ac:dyDescent="0.3">
      <c r="A463" s="24" t="s">
        <v>53</v>
      </c>
    </row>
    <row r="464" spans="1:12" ht="46.8" x14ac:dyDescent="0.3">
      <c r="A464" s="24" t="s">
        <v>313</v>
      </c>
      <c r="B464" s="24" t="s">
        <v>312</v>
      </c>
      <c r="C464" s="24" t="s">
        <v>3</v>
      </c>
      <c r="E464" s="24" t="s">
        <v>256</v>
      </c>
      <c r="F464" s="24" t="s">
        <v>311</v>
      </c>
      <c r="G464" s="1" t="s">
        <v>135</v>
      </c>
    </row>
    <row r="465" spans="1:23" ht="16.2" x14ac:dyDescent="0.3">
      <c r="A465" s="24">
        <v>0</v>
      </c>
      <c r="B465" s="24">
        <f>BINOMDIST(0,50,0.15,0)</f>
        <v>2.9576466371269977E-4</v>
      </c>
      <c r="C465" s="51">
        <f>50*0.15</f>
        <v>7.5</v>
      </c>
      <c r="D465" s="24">
        <f>(A465-C465)^2</f>
        <v>56.25</v>
      </c>
      <c r="E465" s="24">
        <v>0</v>
      </c>
      <c r="F465" s="24">
        <f t="shared" ref="F465:F496" si="17">B465*E465</f>
        <v>0</v>
      </c>
      <c r="G465" s="24">
        <f>B465*(A465-7.5)^2</f>
        <v>1.6636762333839362E-2</v>
      </c>
    </row>
    <row r="466" spans="1:23" x14ac:dyDescent="0.3">
      <c r="A466" s="24">
        <v>1</v>
      </c>
      <c r="B466" s="24">
        <f>BINOMDIST(1,50,0.15,0)</f>
        <v>2.6096882092296971E-3</v>
      </c>
      <c r="C466" s="24">
        <f t="shared" ref="C466:C515" si="18">50*0.15</f>
        <v>7.5</v>
      </c>
      <c r="D466" s="24">
        <f t="shared" ref="D466:D515" si="19">(A466-C466)^2</f>
        <v>42.25</v>
      </c>
      <c r="E466" s="24">
        <v>250</v>
      </c>
      <c r="F466" s="24">
        <f t="shared" si="17"/>
        <v>0.65242205230742434</v>
      </c>
      <c r="G466" s="24">
        <f t="shared" ref="G466:G515" si="20">B466*(A466-7.5)^2</f>
        <v>0.11025932683995471</v>
      </c>
    </row>
    <row r="467" spans="1:23" ht="17.399999999999999" customHeight="1" x14ac:dyDescent="0.3">
      <c r="A467" s="24">
        <v>2</v>
      </c>
      <c r="B467" s="24">
        <f>BINOMDIST(2,50,0.15,0)</f>
        <v>1.1283063728140171E-2</v>
      </c>
      <c r="C467" s="24">
        <f t="shared" si="18"/>
        <v>7.5</v>
      </c>
      <c r="D467" s="24">
        <f t="shared" si="19"/>
        <v>30.25</v>
      </c>
      <c r="E467" s="24">
        <v>500</v>
      </c>
      <c r="F467" s="24">
        <f t="shared" si="17"/>
        <v>5.6415318640700853</v>
      </c>
      <c r="G467" s="24">
        <f t="shared" si="20"/>
        <v>0.34131267777624019</v>
      </c>
    </row>
    <row r="468" spans="1:23" x14ac:dyDescent="0.3">
      <c r="A468" s="24">
        <v>3</v>
      </c>
      <c r="B468" s="24">
        <f>BINOMDIST(3,50,0.15,0)</f>
        <v>3.1858062291219305E-2</v>
      </c>
      <c r="C468" s="24">
        <f t="shared" si="18"/>
        <v>7.5</v>
      </c>
      <c r="D468" s="24">
        <f t="shared" si="19"/>
        <v>20.25</v>
      </c>
      <c r="E468" s="24">
        <v>750</v>
      </c>
      <c r="F468" s="24">
        <f t="shared" si="17"/>
        <v>23.893546718414481</v>
      </c>
      <c r="G468" s="24">
        <f t="shared" si="20"/>
        <v>0.64512576139719091</v>
      </c>
    </row>
    <row r="469" spans="1:23" x14ac:dyDescent="0.3">
      <c r="A469" s="24">
        <v>4</v>
      </c>
      <c r="B469" s="24">
        <f>BINOMDIST(4,50,0.15,0)</f>
        <v>6.6058629162675353E-2</v>
      </c>
      <c r="C469" s="24">
        <f t="shared" si="18"/>
        <v>7.5</v>
      </c>
      <c r="D469" s="24">
        <f t="shared" si="19"/>
        <v>12.25</v>
      </c>
      <c r="E469" s="24">
        <v>1000</v>
      </c>
      <c r="F469" s="24">
        <f t="shared" si="17"/>
        <v>66.058629162675359</v>
      </c>
      <c r="G469" s="24">
        <f t="shared" si="20"/>
        <v>0.80921820724277305</v>
      </c>
    </row>
    <row r="470" spans="1:23" x14ac:dyDescent="0.3">
      <c r="A470" s="24">
        <v>5</v>
      </c>
      <c r="B470" s="24">
        <f>BINOMDIST(5,50,0.15,0)</f>
        <v>0.10724812734646116</v>
      </c>
      <c r="C470" s="24">
        <f t="shared" si="18"/>
        <v>7.5</v>
      </c>
      <c r="D470" s="24">
        <f t="shared" si="19"/>
        <v>6.25</v>
      </c>
      <c r="E470" s="24">
        <v>1250</v>
      </c>
      <c r="F470" s="24">
        <f t="shared" si="17"/>
        <v>134.06015918307645</v>
      </c>
      <c r="G470" s="24">
        <f t="shared" si="20"/>
        <v>0.67030079591538227</v>
      </c>
    </row>
    <row r="471" spans="1:23" x14ac:dyDescent="0.3">
      <c r="A471" s="24">
        <v>6</v>
      </c>
      <c r="B471" s="24">
        <f>BINOMDIST(6,50,0.15,0)</f>
        <v>0.14194605089972803</v>
      </c>
      <c r="C471" s="24">
        <f t="shared" si="18"/>
        <v>7.5</v>
      </c>
      <c r="D471" s="24">
        <f t="shared" si="19"/>
        <v>2.25</v>
      </c>
      <c r="E471" s="24">
        <v>1500</v>
      </c>
      <c r="F471" s="24">
        <f t="shared" si="17"/>
        <v>212.91907634959205</v>
      </c>
      <c r="G471" s="24">
        <f t="shared" si="20"/>
        <v>0.31937861452438809</v>
      </c>
    </row>
    <row r="472" spans="1:23" x14ac:dyDescent="0.3">
      <c r="A472" s="24">
        <v>7</v>
      </c>
      <c r="B472" s="24">
        <f>BINOMDIST(7,50,0.15,0)</f>
        <v>0.1574527623425554</v>
      </c>
      <c r="C472" s="24">
        <f t="shared" si="18"/>
        <v>7.5</v>
      </c>
      <c r="D472" s="24">
        <f t="shared" si="19"/>
        <v>0.25</v>
      </c>
      <c r="E472" s="24">
        <v>1750</v>
      </c>
      <c r="F472" s="24">
        <f t="shared" si="17"/>
        <v>275.54233409947193</v>
      </c>
      <c r="G472" s="24">
        <f t="shared" si="20"/>
        <v>3.9363190585638849E-2</v>
      </c>
      <c r="W472" s="24">
        <f>2.525</f>
        <v>2.5249999999999999</v>
      </c>
    </row>
    <row r="473" spans="1:23" x14ac:dyDescent="0.3">
      <c r="A473" s="24">
        <v>8</v>
      </c>
      <c r="B473" s="24">
        <f>BINOMDIST(8,50,0.15,0)</f>
        <v>0.1493485760455121</v>
      </c>
      <c r="C473" s="24">
        <f t="shared" si="18"/>
        <v>7.5</v>
      </c>
      <c r="D473" s="24">
        <f t="shared" si="19"/>
        <v>0.25</v>
      </c>
      <c r="E473" s="24">
        <v>2000</v>
      </c>
      <c r="F473" s="24">
        <f t="shared" si="17"/>
        <v>298.69715209102424</v>
      </c>
      <c r="G473" s="24">
        <f t="shared" si="20"/>
        <v>3.7337144011378026E-2</v>
      </c>
      <c r="W473" s="24">
        <f>W472*W472</f>
        <v>6.3756249999999994</v>
      </c>
    </row>
    <row r="474" spans="1:23" x14ac:dyDescent="0.3">
      <c r="A474" s="24">
        <v>9</v>
      </c>
      <c r="B474" s="24">
        <f>BINOMDIST(9,50,0.15,0)</f>
        <v>0.12299294497865705</v>
      </c>
      <c r="C474" s="24">
        <f t="shared" si="18"/>
        <v>7.5</v>
      </c>
      <c r="D474" s="24">
        <f t="shared" si="19"/>
        <v>2.25</v>
      </c>
      <c r="E474" s="24">
        <v>2250</v>
      </c>
      <c r="F474" s="24">
        <f t="shared" si="17"/>
        <v>276.73412620197837</v>
      </c>
      <c r="G474" s="24">
        <f t="shared" si="20"/>
        <v>0.27673412620197835</v>
      </c>
      <c r="W474" s="24">
        <f>W473*50</f>
        <v>318.78125</v>
      </c>
    </row>
    <row r="475" spans="1:23" x14ac:dyDescent="0.3">
      <c r="A475" s="24">
        <v>10</v>
      </c>
      <c r="B475" s="24">
        <f>BINOMDIST(10,50,0.15,0)</f>
        <v>8.8989013131616543E-2</v>
      </c>
      <c r="C475" s="24">
        <f t="shared" si="18"/>
        <v>7.5</v>
      </c>
      <c r="D475" s="24">
        <f t="shared" si="19"/>
        <v>6.25</v>
      </c>
      <c r="E475" s="24">
        <v>2500</v>
      </c>
      <c r="F475" s="24">
        <f t="shared" si="17"/>
        <v>222.47253282904137</v>
      </c>
      <c r="G475" s="24">
        <f t="shared" si="20"/>
        <v>0.55618133207260334</v>
      </c>
    </row>
    <row r="476" spans="1:23" x14ac:dyDescent="0.3">
      <c r="A476" s="24">
        <v>11</v>
      </c>
      <c r="B476" s="24">
        <f>BINOMDIST(11,50,0.15,0)</f>
        <v>5.710524906841704E-2</v>
      </c>
      <c r="C476" s="24">
        <f t="shared" si="18"/>
        <v>7.5</v>
      </c>
      <c r="D476" s="24">
        <f t="shared" si="19"/>
        <v>12.25</v>
      </c>
      <c r="E476" s="24">
        <v>2750</v>
      </c>
      <c r="F476" s="24">
        <f t="shared" si="17"/>
        <v>157.03943493814685</v>
      </c>
      <c r="G476" s="24">
        <f t="shared" si="20"/>
        <v>0.69953930108810869</v>
      </c>
    </row>
    <row r="477" spans="1:23" x14ac:dyDescent="0.3">
      <c r="A477" s="24">
        <v>12</v>
      </c>
      <c r="B477" s="24">
        <f>BINOMDIST(12,50,0.15,0)</f>
        <v>3.2751539906886208E-2</v>
      </c>
      <c r="C477" s="24">
        <f t="shared" si="18"/>
        <v>7.5</v>
      </c>
      <c r="D477" s="24">
        <f t="shared" si="19"/>
        <v>20.25</v>
      </c>
      <c r="E477" s="24">
        <v>3000</v>
      </c>
      <c r="F477" s="24">
        <f t="shared" si="17"/>
        <v>98.254619720658624</v>
      </c>
      <c r="G477" s="24">
        <f t="shared" si="20"/>
        <v>0.66321868311444576</v>
      </c>
    </row>
    <row r="478" spans="1:23" x14ac:dyDescent="0.3">
      <c r="A478" s="24">
        <v>13</v>
      </c>
      <c r="B478" s="24">
        <f>BINOMDIST(13,50,0.15,0)</f>
        <v>1.6894459499479784E-2</v>
      </c>
      <c r="C478" s="24">
        <f t="shared" si="18"/>
        <v>7.5</v>
      </c>
      <c r="D478" s="24">
        <f t="shared" si="19"/>
        <v>30.25</v>
      </c>
      <c r="E478" s="24">
        <v>3250</v>
      </c>
      <c r="F478" s="24">
        <f t="shared" si="17"/>
        <v>54.906993373309298</v>
      </c>
      <c r="G478" s="24">
        <f t="shared" si="20"/>
        <v>0.51105739985926346</v>
      </c>
    </row>
    <row r="479" spans="1:23" x14ac:dyDescent="0.3">
      <c r="A479" s="24">
        <v>14</v>
      </c>
      <c r="B479" s="24">
        <f>BINOMDIST(14,50,0.15,0)</f>
        <v>7.8793487581607386E-3</v>
      </c>
      <c r="C479" s="24">
        <f t="shared" si="18"/>
        <v>7.5</v>
      </c>
      <c r="D479" s="24">
        <f t="shared" si="19"/>
        <v>42.25</v>
      </c>
      <c r="E479" s="24">
        <v>3500</v>
      </c>
      <c r="F479" s="24">
        <f t="shared" si="17"/>
        <v>27.577720653562587</v>
      </c>
      <c r="G479" s="24">
        <f t="shared" si="20"/>
        <v>0.3329024850322912</v>
      </c>
    </row>
    <row r="480" spans="1:23" x14ac:dyDescent="0.3">
      <c r="A480" s="24">
        <v>15</v>
      </c>
      <c r="B480" s="24">
        <f>BINOMDIST(15,50,0.15,0)</f>
        <v>3.337135944632781E-3</v>
      </c>
      <c r="C480" s="24">
        <f t="shared" si="18"/>
        <v>7.5</v>
      </c>
      <c r="D480" s="24">
        <f t="shared" si="19"/>
        <v>56.25</v>
      </c>
      <c r="E480" s="24">
        <v>3750</v>
      </c>
      <c r="F480" s="24">
        <f t="shared" si="17"/>
        <v>12.514259792372929</v>
      </c>
      <c r="G480" s="24">
        <f t="shared" si="20"/>
        <v>0.18771389688559392</v>
      </c>
    </row>
    <row r="481" spans="1:7" x14ac:dyDescent="0.3">
      <c r="A481" s="24">
        <v>16</v>
      </c>
      <c r="B481" s="24">
        <f>BINOMDIST(16,50,0.15,0)</f>
        <v>1.2882326256854486E-3</v>
      </c>
      <c r="C481" s="24">
        <f t="shared" si="18"/>
        <v>7.5</v>
      </c>
      <c r="D481" s="24">
        <f t="shared" si="19"/>
        <v>72.25</v>
      </c>
      <c r="E481" s="24">
        <v>4000</v>
      </c>
      <c r="F481" s="24">
        <f t="shared" si="17"/>
        <v>5.1529305027417944</v>
      </c>
      <c r="G481" s="24">
        <f t="shared" si="20"/>
        <v>9.3074807205773658E-2</v>
      </c>
    </row>
    <row r="482" spans="1:7" x14ac:dyDescent="0.3">
      <c r="A482" s="24">
        <v>17</v>
      </c>
      <c r="B482" s="24">
        <f>BINOMDIST(17,50,0.15,0)</f>
        <v>4.5467033847721838E-4</v>
      </c>
      <c r="C482" s="24">
        <f t="shared" si="18"/>
        <v>7.5</v>
      </c>
      <c r="D482" s="24">
        <f t="shared" si="19"/>
        <v>90.25</v>
      </c>
      <c r="E482" s="24">
        <v>4250</v>
      </c>
      <c r="F482" s="24">
        <f t="shared" si="17"/>
        <v>1.932348938528178</v>
      </c>
      <c r="G482" s="24">
        <f t="shared" si="20"/>
        <v>4.1033998047568958E-2</v>
      </c>
    </row>
    <row r="483" spans="1:7" x14ac:dyDescent="0.3">
      <c r="A483" s="24">
        <v>18</v>
      </c>
      <c r="B483" s="24">
        <f>BINOMDIST(18,50,0.15,0)</f>
        <v>1.4709922715439396E-4</v>
      </c>
      <c r="C483" s="24">
        <f t="shared" si="18"/>
        <v>7.5</v>
      </c>
      <c r="D483" s="24">
        <f t="shared" si="19"/>
        <v>110.25</v>
      </c>
      <c r="E483" s="24">
        <v>4500</v>
      </c>
      <c r="F483" s="24">
        <f t="shared" si="17"/>
        <v>0.66194652219477279</v>
      </c>
      <c r="G483" s="24">
        <f t="shared" si="20"/>
        <v>1.6217689793771934E-2</v>
      </c>
    </row>
    <row r="484" spans="1:7" x14ac:dyDescent="0.3">
      <c r="A484" s="24">
        <v>19</v>
      </c>
      <c r="B484" s="24">
        <f>BINOMDIST(19,50,0.15,0)</f>
        <v>4.371989413876719E-5</v>
      </c>
      <c r="C484" s="24">
        <f t="shared" si="18"/>
        <v>7.5</v>
      </c>
      <c r="D484" s="24">
        <f t="shared" si="19"/>
        <v>132.25</v>
      </c>
      <c r="E484" s="24">
        <v>4750</v>
      </c>
      <c r="F484" s="24">
        <f t="shared" si="17"/>
        <v>0.20766949715914415</v>
      </c>
      <c r="G484" s="24">
        <f t="shared" si="20"/>
        <v>5.7819559998519609E-3</v>
      </c>
    </row>
    <row r="485" spans="1:7" x14ac:dyDescent="0.3">
      <c r="A485" s="24">
        <v>20</v>
      </c>
      <c r="B485" s="24">
        <f>BINOMDIST(20,50,0.15,0)</f>
        <v>1.1958676926192239E-5</v>
      </c>
      <c r="C485" s="24">
        <f t="shared" si="18"/>
        <v>7.5</v>
      </c>
      <c r="D485" s="24">
        <f t="shared" si="19"/>
        <v>156.25</v>
      </c>
      <c r="E485" s="24">
        <v>5000</v>
      </c>
      <c r="F485" s="24">
        <f t="shared" si="17"/>
        <v>5.9793384630961198E-2</v>
      </c>
      <c r="G485" s="24">
        <f t="shared" si="20"/>
        <v>1.8685432697175374E-3</v>
      </c>
    </row>
    <row r="486" spans="1:7" x14ac:dyDescent="0.3">
      <c r="A486" s="24">
        <v>21</v>
      </c>
      <c r="B486" s="24">
        <f>BINOMDIST(21,50,0.15,0)</f>
        <v>3.0147925024014056E-6</v>
      </c>
      <c r="C486" s="24">
        <f t="shared" si="18"/>
        <v>7.5</v>
      </c>
      <c r="D486" s="24">
        <f t="shared" si="19"/>
        <v>182.25</v>
      </c>
      <c r="E486" s="24">
        <v>5250</v>
      </c>
      <c r="F486" s="24">
        <f t="shared" si="17"/>
        <v>1.582766063760738E-2</v>
      </c>
      <c r="G486" s="24">
        <f t="shared" si="20"/>
        <v>5.4944593356265618E-4</v>
      </c>
    </row>
    <row r="487" spans="1:7" x14ac:dyDescent="0.3">
      <c r="A487" s="24">
        <v>22</v>
      </c>
      <c r="B487" s="24">
        <f>BINOMDIST(22,50,0.15,0)</f>
        <v>7.0130199922171851E-7</v>
      </c>
      <c r="C487" s="24">
        <f t="shared" si="18"/>
        <v>7.5</v>
      </c>
      <c r="D487" s="24">
        <f t="shared" si="19"/>
        <v>210.25</v>
      </c>
      <c r="E487" s="24">
        <v>5500</v>
      </c>
      <c r="F487" s="24">
        <f t="shared" si="17"/>
        <v>3.8571609957194519E-3</v>
      </c>
      <c r="G487" s="24">
        <f t="shared" si="20"/>
        <v>1.474487453363663E-4</v>
      </c>
    </row>
    <row r="488" spans="1:7" x14ac:dyDescent="0.3">
      <c r="A488" s="24">
        <v>23</v>
      </c>
      <c r="B488" s="24">
        <f>BINOMDIST(23,50,0.15,0)</f>
        <v>1.5066334510134073E-7</v>
      </c>
      <c r="C488" s="24">
        <f t="shared" si="18"/>
        <v>7.5</v>
      </c>
      <c r="D488" s="24">
        <f t="shared" si="19"/>
        <v>240.25</v>
      </c>
      <c r="E488" s="24">
        <v>5750</v>
      </c>
      <c r="F488" s="24">
        <f t="shared" si="17"/>
        <v>8.6631423433270913E-4</v>
      </c>
      <c r="G488" s="24">
        <f t="shared" si="20"/>
        <v>3.6196868660597111E-5</v>
      </c>
    </row>
    <row r="489" spans="1:7" x14ac:dyDescent="0.3">
      <c r="A489" s="24">
        <v>24</v>
      </c>
      <c r="B489" s="24">
        <f>BINOMDIST(24,50,0.15,0)</f>
        <v>2.9911105277471979E-8</v>
      </c>
      <c r="C489" s="24">
        <f t="shared" si="18"/>
        <v>7.5</v>
      </c>
      <c r="D489" s="24">
        <f t="shared" si="19"/>
        <v>272.25</v>
      </c>
      <c r="E489" s="24">
        <v>6000</v>
      </c>
      <c r="F489" s="24">
        <f t="shared" si="17"/>
        <v>1.7946663166483188E-4</v>
      </c>
      <c r="G489" s="24">
        <f t="shared" si="20"/>
        <v>8.143298411791747E-6</v>
      </c>
    </row>
    <row r="490" spans="1:7" x14ac:dyDescent="0.3">
      <c r="A490" s="24">
        <v>25</v>
      </c>
      <c r="B490" s="24">
        <f>BINOMDIST(25,50,0.15,0)</f>
        <v>5.4895675568066006E-9</v>
      </c>
      <c r="C490" s="24">
        <f t="shared" si="18"/>
        <v>7.5</v>
      </c>
      <c r="D490" s="24">
        <f t="shared" si="19"/>
        <v>306.25</v>
      </c>
      <c r="E490" s="24">
        <v>6250</v>
      </c>
      <c r="F490" s="24">
        <f t="shared" si="17"/>
        <v>3.4309797230041253E-5</v>
      </c>
      <c r="G490" s="24">
        <f t="shared" si="20"/>
        <v>1.6811800642720214E-6</v>
      </c>
    </row>
    <row r="491" spans="1:7" x14ac:dyDescent="0.3">
      <c r="A491" s="24">
        <v>26</v>
      </c>
      <c r="B491" s="24">
        <f>BINOMDIST(26,50,0.15,0)</f>
        <v>9.3148770760293894E-10</v>
      </c>
      <c r="C491" s="24">
        <f t="shared" si="18"/>
        <v>7.5</v>
      </c>
      <c r="D491" s="24">
        <f t="shared" si="19"/>
        <v>342.25</v>
      </c>
      <c r="E491" s="24">
        <v>6500</v>
      </c>
      <c r="F491" s="24">
        <f t="shared" si="17"/>
        <v>6.0546700994191033E-6</v>
      </c>
      <c r="G491" s="24">
        <f t="shared" si="20"/>
        <v>3.1880166792710586E-7</v>
      </c>
    </row>
    <row r="492" spans="1:7" x14ac:dyDescent="0.3">
      <c r="A492" s="24">
        <v>27</v>
      </c>
      <c r="B492" s="24">
        <f>BINOMDIST(27,50,0.15,0)</f>
        <v>1.461157188396766E-10</v>
      </c>
      <c r="C492" s="24">
        <f t="shared" si="18"/>
        <v>7.5</v>
      </c>
      <c r="D492" s="24">
        <f t="shared" si="19"/>
        <v>380.25</v>
      </c>
      <c r="E492" s="24">
        <v>6750</v>
      </c>
      <c r="F492" s="24">
        <f t="shared" si="17"/>
        <v>9.8628110216781696E-7</v>
      </c>
      <c r="G492" s="24">
        <f t="shared" si="20"/>
        <v>5.556050208878703E-8</v>
      </c>
    </row>
    <row r="493" spans="1:7" x14ac:dyDescent="0.3">
      <c r="A493" s="24">
        <v>28</v>
      </c>
      <c r="B493" s="24">
        <f>BINOMDIST(28,50,0.15,0)</f>
        <v>2.1180639915835351E-11</v>
      </c>
      <c r="C493" s="24">
        <f t="shared" si="18"/>
        <v>7.5</v>
      </c>
      <c r="D493" s="24">
        <f t="shared" si="19"/>
        <v>420.25</v>
      </c>
      <c r="E493" s="24">
        <v>7000</v>
      </c>
      <c r="F493" s="24">
        <f t="shared" si="17"/>
        <v>1.4826447941084746E-7</v>
      </c>
      <c r="G493" s="24">
        <f t="shared" si="20"/>
        <v>8.9011639246298064E-9</v>
      </c>
    </row>
    <row r="494" spans="1:7" x14ac:dyDescent="0.3">
      <c r="A494" s="24">
        <v>29</v>
      </c>
      <c r="B494" s="24">
        <f>BINOMDIST(29,50,0.15,0)</f>
        <v>2.8355420576980294E-12</v>
      </c>
      <c r="C494" s="24">
        <f t="shared" si="18"/>
        <v>7.5</v>
      </c>
      <c r="D494" s="24">
        <f t="shared" si="19"/>
        <v>462.25</v>
      </c>
      <c r="E494" s="24">
        <v>7250</v>
      </c>
      <c r="F494" s="24">
        <f t="shared" si="17"/>
        <v>2.0557679918310712E-8</v>
      </c>
      <c r="G494" s="24">
        <f t="shared" si="20"/>
        <v>1.3107293161709141E-9</v>
      </c>
    </row>
    <row r="495" spans="1:7" x14ac:dyDescent="0.3">
      <c r="A495" s="24">
        <v>30</v>
      </c>
      <c r="B495" s="24">
        <f>BINOMDIST(30,50,0.15,0)</f>
        <v>3.5027284242152386E-13</v>
      </c>
      <c r="C495" s="24">
        <f t="shared" si="18"/>
        <v>7.5</v>
      </c>
      <c r="D495" s="24">
        <f t="shared" si="19"/>
        <v>506.25</v>
      </c>
      <c r="E495" s="24">
        <v>7500</v>
      </c>
      <c r="F495" s="24">
        <f t="shared" si="17"/>
        <v>2.6270463181614291E-9</v>
      </c>
      <c r="G495" s="24">
        <f t="shared" si="20"/>
        <v>1.7732562647589646E-10</v>
      </c>
    </row>
    <row r="496" spans="1:7" x14ac:dyDescent="0.3">
      <c r="A496" s="24">
        <v>31</v>
      </c>
      <c r="B496" s="24">
        <f>BINOMDIST(31,50,0.15,0)</f>
        <v>3.9879260996757375E-14</v>
      </c>
      <c r="C496" s="24">
        <f t="shared" si="18"/>
        <v>7.5</v>
      </c>
      <c r="D496" s="24">
        <f t="shared" si="19"/>
        <v>552.25</v>
      </c>
      <c r="E496" s="24">
        <v>7750</v>
      </c>
      <c r="F496" s="24">
        <f t="shared" si="17"/>
        <v>3.0906427272486964E-10</v>
      </c>
      <c r="G496" s="24">
        <f t="shared" si="20"/>
        <v>2.202332188545926E-11</v>
      </c>
    </row>
    <row r="497" spans="1:7" x14ac:dyDescent="0.3">
      <c r="A497" s="24">
        <v>32</v>
      </c>
      <c r="B497" s="24">
        <f>BINOMDIST(32,50,0.15,0)</f>
        <v>4.1785255088514569E-15</v>
      </c>
      <c r="C497" s="24">
        <f t="shared" si="18"/>
        <v>7.5</v>
      </c>
      <c r="D497" s="24">
        <f t="shared" si="19"/>
        <v>600.25</v>
      </c>
      <c r="E497" s="24">
        <v>8000</v>
      </c>
      <c r="F497" s="24">
        <f t="shared" ref="F497:F515" si="21">B497*E497</f>
        <v>3.3428204070811654E-11</v>
      </c>
      <c r="G497" s="24">
        <f t="shared" si="20"/>
        <v>2.5081599366880871E-12</v>
      </c>
    </row>
    <row r="498" spans="1:7" x14ac:dyDescent="0.3">
      <c r="A498" s="24">
        <v>33</v>
      </c>
      <c r="B498" s="24">
        <f>BINOMDIST(33,50,0.15,0)</f>
        <v>4.0221101154719797E-16</v>
      </c>
      <c r="C498" s="24">
        <f t="shared" si="18"/>
        <v>7.5</v>
      </c>
      <c r="D498" s="24">
        <f t="shared" si="19"/>
        <v>650.25</v>
      </c>
      <c r="E498" s="24">
        <v>8250</v>
      </c>
      <c r="F498" s="24">
        <f t="shared" si="21"/>
        <v>3.3182408452643832E-12</v>
      </c>
      <c r="G498" s="24">
        <f t="shared" si="20"/>
        <v>2.6153771025856547E-13</v>
      </c>
    </row>
    <row r="499" spans="1:7" x14ac:dyDescent="0.3">
      <c r="A499" s="24">
        <v>34</v>
      </c>
      <c r="B499" s="24">
        <f>BINOMDIST(34,50,0.15,0)</f>
        <v>3.5489206901223653E-17</v>
      </c>
      <c r="C499" s="24">
        <f t="shared" si="18"/>
        <v>7.5</v>
      </c>
      <c r="D499" s="24">
        <f t="shared" si="19"/>
        <v>702.25</v>
      </c>
      <c r="E499" s="24">
        <v>8500</v>
      </c>
      <c r="F499" s="24">
        <f t="shared" si="21"/>
        <v>3.0165825866040103E-13</v>
      </c>
      <c r="G499" s="24">
        <f t="shared" si="20"/>
        <v>2.4922295546384311E-14</v>
      </c>
    </row>
    <row r="500" spans="1:7" x14ac:dyDescent="0.3">
      <c r="A500" s="24">
        <v>35</v>
      </c>
      <c r="B500" s="24">
        <f>BINOMDIST(35,50,0.15,0)</f>
        <v>2.8629948424516288E-18</v>
      </c>
      <c r="C500" s="24">
        <f t="shared" si="18"/>
        <v>7.5</v>
      </c>
      <c r="D500" s="24">
        <f t="shared" si="19"/>
        <v>756.25</v>
      </c>
      <c r="E500" s="24">
        <v>8750</v>
      </c>
      <c r="F500" s="24">
        <f t="shared" si="21"/>
        <v>2.5051204871451751E-14</v>
      </c>
      <c r="G500" s="24">
        <f t="shared" si="20"/>
        <v>2.1651398496040442E-15</v>
      </c>
    </row>
    <row r="501" spans="1:7" x14ac:dyDescent="0.3">
      <c r="A501" s="24">
        <v>36</v>
      </c>
      <c r="B501" s="24">
        <f>BINOMDIST(36,50,0.15,0)</f>
        <v>2.105143266508571E-19</v>
      </c>
      <c r="C501" s="24">
        <f t="shared" si="18"/>
        <v>7.5</v>
      </c>
      <c r="D501" s="24">
        <f t="shared" si="19"/>
        <v>812.25</v>
      </c>
      <c r="E501" s="24">
        <v>9000</v>
      </c>
      <c r="F501" s="24">
        <f t="shared" si="21"/>
        <v>1.8946289398577139E-15</v>
      </c>
      <c r="G501" s="24">
        <f t="shared" si="20"/>
        <v>1.7099026182215869E-16</v>
      </c>
    </row>
    <row r="502" spans="1:7" x14ac:dyDescent="0.3">
      <c r="A502" s="24">
        <v>37</v>
      </c>
      <c r="B502" s="24">
        <f>BINOMDIST(37,50,0.15,0)</f>
        <v>1.4056600507688338E-20</v>
      </c>
      <c r="C502" s="24">
        <f t="shared" si="18"/>
        <v>7.5</v>
      </c>
      <c r="D502" s="24">
        <f t="shared" si="19"/>
        <v>870.25</v>
      </c>
      <c r="E502" s="24">
        <v>9250</v>
      </c>
      <c r="F502" s="24">
        <f t="shared" si="21"/>
        <v>1.3002355469611711E-16</v>
      </c>
      <c r="G502" s="24">
        <f t="shared" si="20"/>
        <v>1.2232756591815776E-17</v>
      </c>
    </row>
    <row r="503" spans="1:7" x14ac:dyDescent="0.3">
      <c r="A503" s="24">
        <v>38</v>
      </c>
      <c r="B503" s="24">
        <f>BINOMDIST(38,50,0.15,0)</f>
        <v>8.4861829690378533E-22</v>
      </c>
      <c r="C503" s="24">
        <f t="shared" si="18"/>
        <v>7.5</v>
      </c>
      <c r="D503" s="24">
        <f t="shared" si="19"/>
        <v>930.25</v>
      </c>
      <c r="E503" s="24">
        <v>9500</v>
      </c>
      <c r="F503" s="24">
        <f t="shared" si="21"/>
        <v>8.0618738205859599E-18</v>
      </c>
      <c r="G503" s="24">
        <f t="shared" si="20"/>
        <v>7.8942717069474633E-19</v>
      </c>
    </row>
    <row r="504" spans="1:7" x14ac:dyDescent="0.3">
      <c r="A504" s="24">
        <v>39</v>
      </c>
      <c r="B504" s="24">
        <f>BINOMDIST(39,50,0.15,0)</f>
        <v>4.6078821551336742E-23</v>
      </c>
      <c r="C504" s="24">
        <f t="shared" si="18"/>
        <v>7.5</v>
      </c>
      <c r="D504" s="24">
        <f t="shared" si="19"/>
        <v>992.25</v>
      </c>
      <c r="E504" s="24">
        <v>9750</v>
      </c>
      <c r="F504" s="24">
        <f t="shared" si="21"/>
        <v>4.4926851012553321E-19</v>
      </c>
      <c r="G504" s="24">
        <f t="shared" si="20"/>
        <v>4.5721710684313879E-20</v>
      </c>
    </row>
    <row r="505" spans="1:7" x14ac:dyDescent="0.3">
      <c r="A505" s="24">
        <v>40</v>
      </c>
      <c r="B505" s="24">
        <f>BINOMDIST(40,50,0.15,0)</f>
        <v>2.2361781046972298E-24</v>
      </c>
      <c r="C505" s="24">
        <f t="shared" si="18"/>
        <v>7.5</v>
      </c>
      <c r="D505" s="24">
        <f t="shared" si="19"/>
        <v>1056.25</v>
      </c>
      <c r="E505" s="24">
        <v>10000</v>
      </c>
      <c r="F505" s="24">
        <f t="shared" si="21"/>
        <v>2.2361781046972297E-20</v>
      </c>
      <c r="G505" s="24">
        <f t="shared" si="20"/>
        <v>2.3619631230864489E-21</v>
      </c>
    </row>
    <row r="506" spans="1:7" x14ac:dyDescent="0.3">
      <c r="A506" s="24">
        <v>41</v>
      </c>
      <c r="B506" s="24">
        <f>BINOMDIST(41,50,0.15,0)</f>
        <v>9.6248698910928184E-26</v>
      </c>
      <c r="C506" s="24">
        <f t="shared" si="18"/>
        <v>7.5</v>
      </c>
      <c r="D506" s="24">
        <f t="shared" si="19"/>
        <v>1122.25</v>
      </c>
      <c r="E506" s="24">
        <v>10250</v>
      </c>
      <c r="F506" s="24">
        <f t="shared" si="21"/>
        <v>9.8654916383701383E-22</v>
      </c>
      <c r="G506" s="24">
        <f t="shared" si="20"/>
        <v>1.0801510235278915E-22</v>
      </c>
    </row>
    <row r="507" spans="1:7" x14ac:dyDescent="0.3">
      <c r="A507" s="24">
        <v>42</v>
      </c>
      <c r="B507" s="24">
        <f>BINOMDIST(42,50,0.15,0)</f>
        <v>3.639656681505693E-27</v>
      </c>
      <c r="C507" s="24">
        <f t="shared" si="18"/>
        <v>7.5</v>
      </c>
      <c r="D507" s="24">
        <f t="shared" si="19"/>
        <v>1190.25</v>
      </c>
      <c r="E507" s="24">
        <v>10500</v>
      </c>
      <c r="F507" s="24">
        <f t="shared" si="21"/>
        <v>3.8216395155809778E-23</v>
      </c>
      <c r="G507" s="24">
        <f t="shared" si="20"/>
        <v>4.332101365162151E-24</v>
      </c>
    </row>
    <row r="508" spans="1:7" x14ac:dyDescent="0.3">
      <c r="A508" s="24">
        <v>43</v>
      </c>
      <c r="B508" s="24">
        <f>BINOMDIST(43,50,0.15,0)</f>
        <v>1.1949625219717584E-28</v>
      </c>
      <c r="C508" s="24">
        <f t="shared" si="18"/>
        <v>7.5</v>
      </c>
      <c r="D508" s="24">
        <f t="shared" si="19"/>
        <v>1260.25</v>
      </c>
      <c r="E508" s="24">
        <v>10750</v>
      </c>
      <c r="F508" s="24">
        <f t="shared" si="21"/>
        <v>1.2845847111196403E-24</v>
      </c>
      <c r="G508" s="24">
        <f t="shared" si="20"/>
        <v>1.5059515183149084E-25</v>
      </c>
    </row>
    <row r="509" spans="1:7" x14ac:dyDescent="0.3">
      <c r="A509" s="24">
        <v>44</v>
      </c>
      <c r="B509" s="24">
        <f>BINOMDIST(44,50,0.15,0)</f>
        <v>3.3548413050009379E-30</v>
      </c>
      <c r="C509" s="24">
        <f t="shared" si="18"/>
        <v>7.5</v>
      </c>
      <c r="D509" s="24">
        <f t="shared" si="19"/>
        <v>1332.25</v>
      </c>
      <c r="E509" s="24">
        <v>11000</v>
      </c>
      <c r="F509" s="24">
        <f t="shared" si="21"/>
        <v>3.6903254355010319E-26</v>
      </c>
      <c r="G509" s="24">
        <f t="shared" si="20"/>
        <v>4.4694873285874993E-27</v>
      </c>
    </row>
    <row r="510" spans="1:7" x14ac:dyDescent="0.3">
      <c r="A510" s="24">
        <v>45</v>
      </c>
      <c r="B510" s="24">
        <f>BINOMDIST(45,50,0.15,0)</f>
        <v>7.8937442470611255E-32</v>
      </c>
      <c r="C510" s="24">
        <f t="shared" si="18"/>
        <v>7.5</v>
      </c>
      <c r="D510" s="24">
        <f t="shared" si="19"/>
        <v>1406.25</v>
      </c>
      <c r="E510" s="24">
        <v>11250</v>
      </c>
      <c r="F510" s="24">
        <f t="shared" si="21"/>
        <v>8.880462277943766E-28</v>
      </c>
      <c r="G510" s="24">
        <f t="shared" si="20"/>
        <v>1.1100577847429708E-28</v>
      </c>
    </row>
    <row r="511" spans="1:7" x14ac:dyDescent="0.3">
      <c r="A511" s="24">
        <v>46</v>
      </c>
      <c r="B511" s="24">
        <f>BINOMDIST(46,50,0.15,0)</f>
        <v>1.5141453159324114E-33</v>
      </c>
      <c r="C511" s="24">
        <f t="shared" si="18"/>
        <v>7.5</v>
      </c>
      <c r="D511" s="24">
        <f t="shared" si="19"/>
        <v>1482.25</v>
      </c>
      <c r="E511" s="24">
        <v>11500</v>
      </c>
      <c r="F511" s="24">
        <f t="shared" si="21"/>
        <v>1.7412671133222732E-29</v>
      </c>
      <c r="G511" s="24">
        <f t="shared" si="20"/>
        <v>2.2443418945408168E-30</v>
      </c>
    </row>
    <row r="512" spans="1:7" x14ac:dyDescent="0.3">
      <c r="A512" s="24">
        <v>47</v>
      </c>
      <c r="B512" s="24">
        <f>BINOMDIST(47,50,0.15,0)</f>
        <v>2.2740605495856384E-35</v>
      </c>
      <c r="C512" s="24">
        <f t="shared" si="18"/>
        <v>7.5</v>
      </c>
      <c r="D512" s="24">
        <f t="shared" si="19"/>
        <v>1560.25</v>
      </c>
      <c r="E512" s="24">
        <v>11750</v>
      </c>
      <c r="F512" s="24">
        <f t="shared" si="21"/>
        <v>2.6720211457631251E-31</v>
      </c>
      <c r="G512" s="24">
        <f t="shared" si="20"/>
        <v>3.5481029724909923E-32</v>
      </c>
    </row>
    <row r="513" spans="1:8" x14ac:dyDescent="0.3">
      <c r="A513" s="24">
        <v>48</v>
      </c>
      <c r="B513" s="24">
        <f>BINOMDIST(48,50,0.15,0)</f>
        <v>2.508155017925347E-37</v>
      </c>
      <c r="C513" s="24">
        <f t="shared" si="18"/>
        <v>7.5</v>
      </c>
      <c r="D513" s="24">
        <f t="shared" si="19"/>
        <v>1640.25</v>
      </c>
      <c r="E513" s="24">
        <v>12000</v>
      </c>
      <c r="F513" s="24">
        <f t="shared" si="21"/>
        <v>3.0097860215104162E-33</v>
      </c>
      <c r="G513" s="24">
        <f t="shared" si="20"/>
        <v>4.1140012681520503E-34</v>
      </c>
    </row>
    <row r="514" spans="1:8" x14ac:dyDescent="0.3">
      <c r="A514" s="24">
        <v>49</v>
      </c>
      <c r="B514" s="24">
        <f>BINOMDIST(49,50,0.15,0)</f>
        <v>1.8065942506064642E-39</v>
      </c>
      <c r="C514" s="24">
        <f t="shared" si="18"/>
        <v>7.5</v>
      </c>
      <c r="D514" s="24">
        <f t="shared" si="19"/>
        <v>1722.25</v>
      </c>
      <c r="E514" s="24">
        <v>12250</v>
      </c>
      <c r="F514" s="24">
        <f t="shared" si="21"/>
        <v>2.2130779569929186E-35</v>
      </c>
      <c r="G514" s="24">
        <f t="shared" si="20"/>
        <v>3.1114069481069831E-36</v>
      </c>
    </row>
    <row r="515" spans="1:8" x14ac:dyDescent="0.3">
      <c r="A515" s="24">
        <v>50</v>
      </c>
      <c r="B515" s="24">
        <f>BINOMDIST(50,50,0.15,0)</f>
        <v>6.3762150021404756E-42</v>
      </c>
      <c r="C515" s="24">
        <f t="shared" si="18"/>
        <v>7.5</v>
      </c>
      <c r="D515" s="24">
        <f t="shared" si="19"/>
        <v>1806.25</v>
      </c>
      <c r="E515" s="24">
        <v>12500</v>
      </c>
      <c r="F515" s="24">
        <f t="shared" si="21"/>
        <v>7.9702687526755944E-38</v>
      </c>
      <c r="G515" s="24">
        <f t="shared" si="20"/>
        <v>1.1517038347616234E-38</v>
      </c>
    </row>
    <row r="516" spans="1:8" ht="16.2" x14ac:dyDescent="0.3">
      <c r="A516" s="24" t="s">
        <v>98</v>
      </c>
      <c r="B516" s="24">
        <f>SUM(B465:B515)</f>
        <v>1</v>
      </c>
      <c r="F516" s="45">
        <f>SUM(F465:F515)</f>
        <v>1874.9999999999998</v>
      </c>
      <c r="G516" s="24">
        <f>SUM(G465:G515)</f>
        <v>6.3749999999999956</v>
      </c>
    </row>
    <row r="517" spans="1:8" ht="16.2" x14ac:dyDescent="0.3">
      <c r="G517" s="45">
        <f>SQRT(G516)</f>
        <v>2.5248762345905185</v>
      </c>
    </row>
    <row r="518" spans="1:8" ht="16.2" x14ac:dyDescent="0.3">
      <c r="G518" s="45">
        <f>G517*250</f>
        <v>631.21905864762959</v>
      </c>
    </row>
    <row r="519" spans="1:8" ht="16.2" x14ac:dyDescent="0.3">
      <c r="G519" s="52"/>
    </row>
    <row r="520" spans="1:8" ht="28.95" customHeight="1" x14ac:dyDescent="0.3">
      <c r="A520" s="256" t="s">
        <v>315</v>
      </c>
      <c r="B520" s="256"/>
      <c r="C520" s="256"/>
      <c r="D520" s="256"/>
      <c r="E520" s="24" t="s">
        <v>316</v>
      </c>
      <c r="F520"/>
      <c r="G520" s="45">
        <f>SQRT(50*0.15*0.85)</f>
        <v>2.5248762345905194</v>
      </c>
    </row>
    <row r="521" spans="1:8" ht="16.2" x14ac:dyDescent="0.3">
      <c r="G521" s="52"/>
    </row>
    <row r="522" spans="1:8" ht="16.2" thickBot="1" x14ac:dyDescent="0.35"/>
    <row r="523" spans="1:8" ht="16.2" thickBot="1" x14ac:dyDescent="0.35">
      <c r="A523" s="245" t="s">
        <v>314</v>
      </c>
      <c r="B523" s="246"/>
      <c r="C523" s="246"/>
      <c r="D523" s="246"/>
      <c r="E523" s="246"/>
      <c r="F523" s="246"/>
      <c r="G523" s="246"/>
      <c r="H523" s="247"/>
    </row>
    <row r="524" spans="1:8" ht="31.2" x14ac:dyDescent="0.3">
      <c r="A524" s="24" t="s">
        <v>317</v>
      </c>
      <c r="B524" s="24" t="s">
        <v>217</v>
      </c>
      <c r="C524" s="24" t="s">
        <v>3</v>
      </c>
      <c r="D524" s="24" t="s">
        <v>256</v>
      </c>
    </row>
    <row r="525" spans="1:8" x14ac:dyDescent="0.3">
      <c r="A525" s="24">
        <v>2000</v>
      </c>
      <c r="B525" s="24">
        <v>3.2000000000000001E-2</v>
      </c>
      <c r="C525" s="24">
        <f>A525*B525</f>
        <v>64</v>
      </c>
      <c r="D525" s="24">
        <v>10</v>
      </c>
    </row>
    <row r="527" spans="1:8" x14ac:dyDescent="0.3">
      <c r="A527" s="24" t="s">
        <v>3</v>
      </c>
      <c r="B527" s="24" t="s">
        <v>316</v>
      </c>
      <c r="C527" s="24" t="s">
        <v>318</v>
      </c>
      <c r="D527" s="24" t="s">
        <v>316</v>
      </c>
      <c r="E527" s="41">
        <f>A525*B525</f>
        <v>64</v>
      </c>
    </row>
    <row r="528" spans="1:8" ht="31.2" x14ac:dyDescent="0.3">
      <c r="A528" s="24" t="s">
        <v>4</v>
      </c>
      <c r="B528" s="24" t="s">
        <v>316</v>
      </c>
      <c r="D528" s="24" t="s">
        <v>316</v>
      </c>
      <c r="E528" s="41">
        <f>SQRT(2000*0.032*(1-0.032))</f>
        <v>7.8709592807992594</v>
      </c>
    </row>
    <row r="529" spans="1:8" ht="31.2" x14ac:dyDescent="0.3">
      <c r="A529" s="24" t="s">
        <v>319</v>
      </c>
      <c r="B529" s="24" t="s">
        <v>316</v>
      </c>
      <c r="C529" s="41">
        <f>E527*D525</f>
        <v>640</v>
      </c>
    </row>
    <row r="530" spans="1:8" ht="46.8" x14ac:dyDescent="0.3">
      <c r="A530" s="24" t="s">
        <v>320</v>
      </c>
      <c r="B530" s="24" t="s">
        <v>316</v>
      </c>
      <c r="C530" s="41">
        <f>E528*D525</f>
        <v>78.709592807992593</v>
      </c>
    </row>
    <row r="531" spans="1:8" ht="16.2" thickBot="1" x14ac:dyDescent="0.35"/>
    <row r="532" spans="1:8" ht="16.2" thickBot="1" x14ac:dyDescent="0.35">
      <c r="A532" s="245" t="s">
        <v>163</v>
      </c>
      <c r="B532" s="246"/>
      <c r="C532" s="246"/>
      <c r="D532" s="246"/>
      <c r="E532" s="246"/>
      <c r="F532" s="246"/>
      <c r="G532" s="246"/>
      <c r="H532" s="247"/>
    </row>
    <row r="533" spans="1:8" ht="31.2" x14ac:dyDescent="0.3">
      <c r="A533" s="24" t="s">
        <v>321</v>
      </c>
      <c r="B533" s="24" t="s">
        <v>217</v>
      </c>
      <c r="C533" s="24" t="s">
        <v>3</v>
      </c>
    </row>
    <row r="534" spans="1:8" ht="16.2" x14ac:dyDescent="0.3">
      <c r="A534" s="24">
        <v>5</v>
      </c>
      <c r="B534" s="24">
        <v>0.4</v>
      </c>
      <c r="C534" s="45">
        <f>A534*B534</f>
        <v>2</v>
      </c>
    </row>
    <row r="536" spans="1:8" x14ac:dyDescent="0.3">
      <c r="A536" s="24" t="s">
        <v>297</v>
      </c>
      <c r="B536" s="24" t="s">
        <v>217</v>
      </c>
      <c r="C536" s="24" t="s">
        <v>311</v>
      </c>
    </row>
    <row r="537" spans="1:8" x14ac:dyDescent="0.3">
      <c r="A537" s="24">
        <v>0</v>
      </c>
      <c r="B537" s="24">
        <f t="shared" ref="B537:B542" si="22">BINOMDIST(A537,$A$534,$B$534,0)</f>
        <v>7.7759999999999996E-2</v>
      </c>
      <c r="C537" s="24">
        <f t="shared" ref="C537:C542" si="23">A537*B537</f>
        <v>0</v>
      </c>
    </row>
    <row r="538" spans="1:8" x14ac:dyDescent="0.3">
      <c r="A538" s="24">
        <v>1</v>
      </c>
      <c r="B538" s="24">
        <f t="shared" si="22"/>
        <v>0.25919999999999999</v>
      </c>
      <c r="C538" s="24">
        <f t="shared" si="23"/>
        <v>0.25919999999999999</v>
      </c>
    </row>
    <row r="539" spans="1:8" x14ac:dyDescent="0.3">
      <c r="A539" s="24">
        <v>2</v>
      </c>
      <c r="B539" s="24">
        <f t="shared" si="22"/>
        <v>0.34559999999999996</v>
      </c>
      <c r="C539" s="24">
        <f t="shared" si="23"/>
        <v>0.69119999999999993</v>
      </c>
    </row>
    <row r="540" spans="1:8" x14ac:dyDescent="0.3">
      <c r="A540" s="24">
        <v>3</v>
      </c>
      <c r="B540" s="24">
        <f t="shared" si="22"/>
        <v>0.23039999999999999</v>
      </c>
      <c r="C540" s="24">
        <f t="shared" si="23"/>
        <v>0.69120000000000004</v>
      </c>
    </row>
    <row r="541" spans="1:8" x14ac:dyDescent="0.3">
      <c r="A541" s="24">
        <v>4</v>
      </c>
      <c r="B541" s="24">
        <f t="shared" si="22"/>
        <v>7.6799999999999993E-2</v>
      </c>
      <c r="C541" s="24">
        <f t="shared" si="23"/>
        <v>0.30719999999999997</v>
      </c>
    </row>
    <row r="542" spans="1:8" x14ac:dyDescent="0.3">
      <c r="A542" s="24">
        <v>5</v>
      </c>
      <c r="B542" s="24">
        <f t="shared" si="22"/>
        <v>1.0240000000000008E-2</v>
      </c>
      <c r="C542" s="24">
        <f t="shared" si="23"/>
        <v>5.1200000000000037E-2</v>
      </c>
    </row>
    <row r="543" spans="1:8" ht="16.2" x14ac:dyDescent="0.3">
      <c r="A543" s="24" t="s">
        <v>98</v>
      </c>
      <c r="B543" s="24">
        <f>SUM(B537:B542)</f>
        <v>1</v>
      </c>
      <c r="C543" s="45">
        <f>SUM(C537:C542)</f>
        <v>2</v>
      </c>
    </row>
    <row r="544" spans="1:8" ht="16.2" thickBot="1" x14ac:dyDescent="0.35"/>
    <row r="545" spans="1:11" ht="16.2" thickBot="1" x14ac:dyDescent="0.35">
      <c r="A545" s="245" t="s">
        <v>322</v>
      </c>
      <c r="B545" s="246"/>
      <c r="C545" s="246"/>
      <c r="D545" s="246"/>
      <c r="E545" s="246"/>
      <c r="F545" s="246"/>
      <c r="G545" s="246"/>
      <c r="H545" s="247"/>
    </row>
    <row r="546" spans="1:11" ht="46.8" x14ac:dyDescent="0.3">
      <c r="A546" s="24" t="s">
        <v>323</v>
      </c>
      <c r="B546" s="24" t="s">
        <v>324</v>
      </c>
      <c r="C546" s="24" t="s">
        <v>325</v>
      </c>
      <c r="D546" s="24" t="s">
        <v>326</v>
      </c>
      <c r="E546" s="24" t="s">
        <v>327</v>
      </c>
      <c r="F546" s="24" t="s">
        <v>328</v>
      </c>
      <c r="G546" s="24" t="s">
        <v>329</v>
      </c>
    </row>
    <row r="547" spans="1:11" x14ac:dyDescent="0.3">
      <c r="A547" s="24">
        <v>620</v>
      </c>
      <c r="B547" s="24">
        <v>2</v>
      </c>
      <c r="C547" s="24">
        <v>0.78</v>
      </c>
      <c r="D547" s="41">
        <f>A547*C547</f>
        <v>483.6</v>
      </c>
      <c r="E547" s="41">
        <f>SQRT(A547*C547*(1-C547))</f>
        <v>10.314649775925501</v>
      </c>
      <c r="F547" s="41">
        <f>A547*C547*B547</f>
        <v>967.2</v>
      </c>
      <c r="G547" s="41">
        <f>E547*B547</f>
        <v>20.629299551851002</v>
      </c>
    </row>
    <row r="548" spans="1:11" ht="16.2" thickBot="1" x14ac:dyDescent="0.35"/>
    <row r="549" spans="1:11" ht="16.2" thickBot="1" x14ac:dyDescent="0.35">
      <c r="A549" s="245" t="s">
        <v>330</v>
      </c>
      <c r="B549" s="246"/>
      <c r="C549" s="246"/>
      <c r="D549" s="246"/>
      <c r="E549" s="246"/>
      <c r="F549" s="246"/>
      <c r="G549" s="246"/>
      <c r="H549" s="247"/>
    </row>
    <row r="550" spans="1:11" x14ac:dyDescent="0.3">
      <c r="A550" s="24" t="s">
        <v>53</v>
      </c>
      <c r="B550" s="24" t="s">
        <v>54</v>
      </c>
      <c r="C550" s="24" t="s">
        <v>55</v>
      </c>
    </row>
    <row r="551" spans="1:11" x14ac:dyDescent="0.3">
      <c r="A551" s="41">
        <f>BINOMDIST(1,16,0.05,1)</f>
        <v>0.81075965277956819</v>
      </c>
      <c r="B551" s="41">
        <f>BINOMDIST(1,16,0.15,1)</f>
        <v>0.28390121207906804</v>
      </c>
      <c r="C551" s="41">
        <f>BINOMDIST(1,16,0.25,1)</f>
        <v>6.3476439798250808E-2</v>
      </c>
    </row>
    <row r="552" spans="1:11" x14ac:dyDescent="0.3">
      <c r="A552" s="41">
        <f>COMBIN(16,0)*0.05^0*0.95^16+COMBIN(16,1)*0.05^1*0.95^15</f>
        <v>0.8107596527795683</v>
      </c>
      <c r="B552" s="41">
        <f>COMBIN(16,0)*0.15^0*0.85^16+COMBIN(16,1)*0.15^1*0.85^15</f>
        <v>0.28390121207906782</v>
      </c>
      <c r="C552" s="41">
        <f>COMBIN(16,0)*0.25^0*0.75^16+COMBIN(16,1)*0.25^1*0.75^15</f>
        <v>6.3476439798250794E-2</v>
      </c>
    </row>
    <row r="553" spans="1:11" ht="16.2" thickBot="1" x14ac:dyDescent="0.35"/>
    <row r="554" spans="1:11" ht="16.2" thickBot="1" x14ac:dyDescent="0.35">
      <c r="A554" s="245" t="s">
        <v>331</v>
      </c>
      <c r="B554" s="246"/>
      <c r="C554" s="253"/>
      <c r="D554" s="246"/>
      <c r="E554" s="246"/>
      <c r="F554" s="246"/>
      <c r="G554" s="246"/>
      <c r="H554" s="247"/>
    </row>
    <row r="555" spans="1:11" ht="31.2" x14ac:dyDescent="0.3">
      <c r="A555" s="24">
        <f>BINOMDIST(0,10,0.2,0)</f>
        <v>0.1073741824</v>
      </c>
      <c r="B555" s="39">
        <f>BINOMDIST(1,20,0.2,1)</f>
        <v>6.9175290276410825E-2</v>
      </c>
      <c r="C555" s="41" t="s">
        <v>332</v>
      </c>
    </row>
    <row r="556" spans="1:11" ht="16.2" thickBot="1" x14ac:dyDescent="0.35"/>
    <row r="557" spans="1:11" ht="16.2" thickBot="1" x14ac:dyDescent="0.35">
      <c r="A557" s="245" t="s">
        <v>333</v>
      </c>
      <c r="B557" s="246"/>
      <c r="C557" s="246"/>
      <c r="D557" s="246"/>
      <c r="E557" s="246"/>
      <c r="F557" s="246"/>
      <c r="G557" s="246"/>
      <c r="H557" s="247"/>
    </row>
    <row r="558" spans="1:11" x14ac:dyDescent="0.3">
      <c r="B558" s="24" t="s">
        <v>334</v>
      </c>
      <c r="C558" s="24" t="s">
        <v>335</v>
      </c>
    </row>
    <row r="559" spans="1:11" ht="31.2" x14ac:dyDescent="0.3">
      <c r="A559" s="24" t="s">
        <v>336</v>
      </c>
      <c r="B559" s="24">
        <v>0.1</v>
      </c>
      <c r="C559" s="24">
        <v>0.2</v>
      </c>
      <c r="D559" s="24">
        <f>BINOMDIST(1,20,B559,0)</f>
        <v>0.27017034353459846</v>
      </c>
      <c r="F559" s="24">
        <f>D559/SUM($D$559:$D$560)</f>
        <v>0.82415134834452219</v>
      </c>
      <c r="K559" s="24">
        <f>0.7*0.1/0.13</f>
        <v>0.53846153846153844</v>
      </c>
    </row>
    <row r="560" spans="1:11" ht="31.2" x14ac:dyDescent="0.3">
      <c r="A560" s="24" t="s">
        <v>337</v>
      </c>
      <c r="B560" s="24">
        <v>0.7</v>
      </c>
      <c r="C560" s="24">
        <v>0.3</v>
      </c>
      <c r="D560" s="53">
        <f>BINOMDIST(1,20,C559,0)</f>
        <v>5.7646075230342327E-2</v>
      </c>
      <c r="F560" s="24">
        <f>D560/SUM($D$559:$D$560)</f>
        <v>0.17584865165547786</v>
      </c>
    </row>
    <row r="561" spans="1:8" ht="78" x14ac:dyDescent="0.3">
      <c r="A561" s="24" t="s">
        <v>338</v>
      </c>
      <c r="B561" s="24">
        <f>B559*B560</f>
        <v>6.9999999999999993E-2</v>
      </c>
      <c r="C561" s="24">
        <f>C559*C560</f>
        <v>0.06</v>
      </c>
    </row>
    <row r="562" spans="1:8" ht="62.4" x14ac:dyDescent="0.3">
      <c r="A562" s="24" t="s">
        <v>339</v>
      </c>
      <c r="B562" s="24">
        <f>B561/(B561+C561)</f>
        <v>0.53846153846153844</v>
      </c>
    </row>
    <row r="564" spans="1:8" ht="16.2" thickBot="1" x14ac:dyDescent="0.35"/>
    <row r="565" spans="1:8" ht="16.2" thickBot="1" x14ac:dyDescent="0.35">
      <c r="A565" s="245" t="s">
        <v>340</v>
      </c>
      <c r="B565" s="246"/>
      <c r="C565" s="246"/>
      <c r="D565" s="246"/>
      <c r="E565" s="246"/>
      <c r="F565" s="246"/>
      <c r="G565" s="246"/>
      <c r="H565" s="247"/>
    </row>
    <row r="566" spans="1:8" x14ac:dyDescent="0.3">
      <c r="A566" s="24" t="s">
        <v>53</v>
      </c>
      <c r="B566" s="24" t="s">
        <v>54</v>
      </c>
      <c r="C566" s="24" t="s">
        <v>55</v>
      </c>
    </row>
    <row r="567" spans="1:8" x14ac:dyDescent="0.3">
      <c r="A567" s="41">
        <f>12/16*11/15*10/14*9/13</f>
        <v>0.27197802197802196</v>
      </c>
      <c r="B567" s="41">
        <f>14/16*13/15*12/14*11/13</f>
        <v>0.55000000000000004</v>
      </c>
      <c r="C567" s="41">
        <f>1-15/16*14/15*13/14*12/13</f>
        <v>0.25</v>
      </c>
    </row>
    <row r="568" spans="1:8" x14ac:dyDescent="0.3">
      <c r="A568" s="41">
        <f>HYPGEOMDIST(0,4,4,16)</f>
        <v>0.27197802197802207</v>
      </c>
      <c r="B568" s="41">
        <f>HYPGEOMDIST(0,4,2,16)</f>
        <v>0.54999999999999993</v>
      </c>
      <c r="C568" s="41">
        <f>HYPGEOMDIST(1,4,1,16)</f>
        <v>0.25</v>
      </c>
    </row>
    <row r="569" spans="1:8" x14ac:dyDescent="0.3">
      <c r="A569" s="41">
        <f>COMBIN(12,4)*COMBIN(4,0)/COMBIN(16,4)</f>
        <v>0.27197802197802196</v>
      </c>
      <c r="B569" s="41">
        <f>COMBIN(14,4)*COMBIN(2,0)/COMBIN(16,4)</f>
        <v>0.54999999999999993</v>
      </c>
      <c r="C569" s="41">
        <f>COMBIN(15,3)*COMBIN(1,1)/COMBIN(16,4)</f>
        <v>0.25</v>
      </c>
    </row>
    <row r="570" spans="1:8" ht="16.2" thickBot="1" x14ac:dyDescent="0.35"/>
    <row r="571" spans="1:8" ht="16.2" thickBot="1" x14ac:dyDescent="0.35">
      <c r="A571" s="245" t="s">
        <v>341</v>
      </c>
      <c r="B571" s="246"/>
      <c r="C571" s="246"/>
      <c r="D571" s="246"/>
      <c r="E571" s="246"/>
      <c r="F571" s="246"/>
      <c r="G571" s="246"/>
      <c r="H571" s="247"/>
    </row>
    <row r="573" spans="1:8" x14ac:dyDescent="0.3">
      <c r="A573" s="41">
        <f>HYPGEOMDIST(4,8,8,16)</f>
        <v>0.38073038073038085</v>
      </c>
    </row>
    <row r="574" spans="1:8" x14ac:dyDescent="0.3">
      <c r="A574" s="41">
        <f>COMBIN(8,4)*COMBIN(8,4)/COMBIN(16,8)</f>
        <v>0.38073038073038079</v>
      </c>
    </row>
    <row r="575" spans="1:8" ht="16.2" thickBot="1" x14ac:dyDescent="0.35"/>
    <row r="576" spans="1:8" ht="16.2" thickBot="1" x14ac:dyDescent="0.35">
      <c r="A576" s="245" t="s">
        <v>342</v>
      </c>
      <c r="B576" s="246"/>
      <c r="C576" s="246"/>
      <c r="D576" s="246"/>
      <c r="E576" s="246"/>
      <c r="F576" s="246"/>
      <c r="G576" s="246"/>
      <c r="H576" s="247"/>
    </row>
    <row r="578" spans="1:8" x14ac:dyDescent="0.3">
      <c r="A578" s="41">
        <f>HYPGEOMDIST(2,3,4,12)+HYPGEOMDIST(3,3,4,12)</f>
        <v>0.2363636363636363</v>
      </c>
    </row>
    <row r="579" spans="1:8" x14ac:dyDescent="0.3">
      <c r="A579" s="41">
        <f>(COMBIN(8,1)*COMBIN(4,2)/COMBIN(12,3))+COMBIN(8,0)*COMBIN(4,3)/COMBIN(12,3)</f>
        <v>0.23636363636363636</v>
      </c>
    </row>
    <row r="580" spans="1:8" ht="16.2" thickBot="1" x14ac:dyDescent="0.35"/>
    <row r="581" spans="1:8" ht="16.2" thickBot="1" x14ac:dyDescent="0.35">
      <c r="A581" s="245" t="s">
        <v>343</v>
      </c>
      <c r="B581" s="246"/>
      <c r="C581" s="246"/>
      <c r="D581" s="246"/>
      <c r="E581" s="246"/>
      <c r="F581" s="246"/>
      <c r="G581" s="246"/>
      <c r="H581" s="247"/>
    </row>
    <row r="583" spans="1:8" x14ac:dyDescent="0.3">
      <c r="A583" s="41">
        <f>HYPGEOMDIST(2,6,5,10)+HYPGEOMDIST(1,6,5,10)</f>
        <v>0.26190476190476175</v>
      </c>
    </row>
    <row r="584" spans="1:8" x14ac:dyDescent="0.3">
      <c r="A584" s="41">
        <f>COMBIN(5,4)*COMBIN(5,2)/COMBIN(10,6)+COMBIN(5,5)*COMBIN(5,1)/COMBIN(10,6)</f>
        <v>0.26190476190476197</v>
      </c>
    </row>
    <row r="585" spans="1:8" ht="16.2" thickBot="1" x14ac:dyDescent="0.35"/>
    <row r="586" spans="1:8" ht="16.2" thickBot="1" x14ac:dyDescent="0.35">
      <c r="A586" s="245" t="s">
        <v>344</v>
      </c>
      <c r="B586" s="253"/>
      <c r="C586" s="246"/>
      <c r="D586" s="246"/>
      <c r="E586" s="246"/>
      <c r="F586" s="246"/>
      <c r="G586" s="246"/>
      <c r="H586" s="247"/>
    </row>
    <row r="587" spans="1:8" x14ac:dyDescent="0.3">
      <c r="B587" s="41">
        <f>POISSON(2,3,1)</f>
        <v>0.42319008112684342</v>
      </c>
      <c r="E587" s="39" t="s">
        <v>345</v>
      </c>
      <c r="F587" s="24">
        <v>2.7182818284589998</v>
      </c>
    </row>
    <row r="588" spans="1:8" x14ac:dyDescent="0.3">
      <c r="A588" s="24" t="s">
        <v>346</v>
      </c>
      <c r="B588" s="24">
        <f>$F$587^-$F$588*$F$588^F589/FACT(F589)</f>
        <v>4.9787068367866436E-2</v>
      </c>
      <c r="E588" s="54" t="s">
        <v>351</v>
      </c>
      <c r="F588" s="24">
        <v>3</v>
      </c>
    </row>
    <row r="589" spans="1:8" x14ac:dyDescent="0.3">
      <c r="A589" s="24" t="s">
        <v>347</v>
      </c>
      <c r="B589" s="24">
        <f>$F$587^-$F$588*$F$588^F590/FACT(F590)</f>
        <v>0.14936120510359929</v>
      </c>
      <c r="E589" s="24" t="s">
        <v>350</v>
      </c>
      <c r="F589" s="24">
        <v>0</v>
      </c>
    </row>
    <row r="590" spans="1:8" x14ac:dyDescent="0.3">
      <c r="A590" s="24" t="s">
        <v>348</v>
      </c>
      <c r="B590" s="24">
        <f>$F$587^-$F$588*$F$588^F591/FACT(F591)</f>
        <v>0.22404180765539897</v>
      </c>
      <c r="E590" s="24" t="s">
        <v>350</v>
      </c>
      <c r="F590" s="24">
        <v>1</v>
      </c>
    </row>
    <row r="591" spans="1:8" ht="31.2" x14ac:dyDescent="0.3">
      <c r="A591" s="24" t="s">
        <v>349</v>
      </c>
      <c r="B591" s="41">
        <f>SUM(B588:B590)</f>
        <v>0.42319008112686474</v>
      </c>
      <c r="E591" s="24" t="s">
        <v>350</v>
      </c>
      <c r="F591" s="24">
        <v>2</v>
      </c>
    </row>
    <row r="592" spans="1:8" ht="16.2" thickBot="1" x14ac:dyDescent="0.35"/>
    <row r="593" spans="1:8" ht="16.2" thickBot="1" x14ac:dyDescent="0.35">
      <c r="A593" s="245" t="s">
        <v>352</v>
      </c>
      <c r="B593" s="246"/>
      <c r="C593" s="246"/>
      <c r="D593" s="246"/>
      <c r="E593" s="246"/>
      <c r="F593" s="246"/>
      <c r="G593" s="246"/>
      <c r="H593" s="247"/>
    </row>
    <row r="594" spans="1:8" x14ac:dyDescent="0.3">
      <c r="A594" s="25"/>
      <c r="B594" s="25"/>
      <c r="C594" s="25" t="s">
        <v>53</v>
      </c>
      <c r="D594" s="25" t="s">
        <v>54</v>
      </c>
      <c r="E594" s="25"/>
      <c r="F594" s="25"/>
      <c r="G594" s="25"/>
      <c r="H594" s="25"/>
    </row>
    <row r="595" spans="1:8" x14ac:dyDescent="0.3">
      <c r="C595" s="41">
        <f>POISSON(1,F596,1)</f>
        <v>0.26738488157160195</v>
      </c>
      <c r="E595" s="39" t="s">
        <v>345</v>
      </c>
      <c r="F595" s="24">
        <v>2.7182818284589998</v>
      </c>
    </row>
    <row r="596" spans="1:8" x14ac:dyDescent="0.3">
      <c r="A596" s="24" t="s">
        <v>346</v>
      </c>
      <c r="B596" s="24">
        <f t="shared" ref="B596:B601" si="24">$F$587^-$F$596*$F$596^F597/FACT(F597)</f>
        <v>7.427357821433711E-2</v>
      </c>
      <c r="C596" s="41">
        <f>SUM(B596:B597)</f>
        <v>0.26738488157161361</v>
      </c>
      <c r="E596" s="54" t="s">
        <v>351</v>
      </c>
      <c r="F596" s="24">
        <v>2.6</v>
      </c>
    </row>
    <row r="597" spans="1:8" x14ac:dyDescent="0.3">
      <c r="A597" s="24" t="s">
        <v>347</v>
      </c>
      <c r="B597" s="24">
        <f t="shared" si="24"/>
        <v>0.1931113033572765</v>
      </c>
      <c r="D597" s="41">
        <f>1-SUM(B596:B599)</f>
        <v>0.26399835561472873</v>
      </c>
      <c r="E597" s="24" t="s">
        <v>350</v>
      </c>
      <c r="F597" s="24">
        <v>0</v>
      </c>
    </row>
    <row r="598" spans="1:8" x14ac:dyDescent="0.3">
      <c r="A598" s="24" t="s">
        <v>348</v>
      </c>
      <c r="B598" s="24">
        <f t="shared" si="24"/>
        <v>0.25104469436445948</v>
      </c>
      <c r="E598" s="24" t="s">
        <v>350</v>
      </c>
      <c r="F598" s="24">
        <v>1</v>
      </c>
    </row>
    <row r="599" spans="1:8" x14ac:dyDescent="0.3">
      <c r="A599" s="24" t="s">
        <v>353</v>
      </c>
      <c r="B599" s="24">
        <f t="shared" si="24"/>
        <v>0.21757206844919821</v>
      </c>
      <c r="E599" s="24" t="s">
        <v>350</v>
      </c>
      <c r="F599" s="24">
        <v>2</v>
      </c>
    </row>
    <row r="600" spans="1:8" x14ac:dyDescent="0.3">
      <c r="A600" s="24" t="s">
        <v>354</v>
      </c>
      <c r="B600" s="24">
        <f t="shared" si="24"/>
        <v>0.14142184449197884</v>
      </c>
      <c r="E600" s="24" t="s">
        <v>350</v>
      </c>
      <c r="F600" s="24">
        <v>3</v>
      </c>
    </row>
    <row r="601" spans="1:8" x14ac:dyDescent="0.3">
      <c r="A601" s="24" t="s">
        <v>355</v>
      </c>
      <c r="B601" s="24">
        <f t="shared" si="24"/>
        <v>7.3539359135829013E-2</v>
      </c>
      <c r="E601" s="24" t="s">
        <v>350</v>
      </c>
      <c r="F601" s="24">
        <v>4</v>
      </c>
    </row>
    <row r="602" spans="1:8" x14ac:dyDescent="0.3">
      <c r="E602" s="24" t="s">
        <v>350</v>
      </c>
      <c r="F602" s="24">
        <v>5</v>
      </c>
    </row>
    <row r="603" spans="1:8" ht="16.2" thickBot="1" x14ac:dyDescent="0.35"/>
    <row r="604" spans="1:8" ht="16.2" thickBot="1" x14ac:dyDescent="0.35">
      <c r="A604" s="245" t="s">
        <v>356</v>
      </c>
      <c r="B604" s="246"/>
      <c r="C604" s="246"/>
      <c r="D604" s="246"/>
      <c r="E604" s="246"/>
      <c r="F604" s="246"/>
      <c r="G604" s="246"/>
      <c r="H604" s="247"/>
    </row>
    <row r="605" spans="1:8" x14ac:dyDescent="0.3">
      <c r="C605" s="41">
        <f>1-POISSON(2,F606,1)</f>
        <v>0.78976201297690252</v>
      </c>
      <c r="E605" s="39" t="s">
        <v>345</v>
      </c>
      <c r="F605" s="24">
        <v>2.7182818284589998</v>
      </c>
    </row>
    <row r="606" spans="1:8" x14ac:dyDescent="0.3">
      <c r="A606" s="24" t="s">
        <v>346</v>
      </c>
      <c r="B606" s="24">
        <f t="shared" ref="B606:B611" si="25">$F$605^-$F$606*$F$606^F607/FACT(F607)</f>
        <v>1.4995576820478754E-2</v>
      </c>
      <c r="C606" s="41">
        <f>1-SUM(B606:B608)</f>
        <v>0.78976201297688786</v>
      </c>
      <c r="E606" s="54" t="s">
        <v>351</v>
      </c>
      <c r="F606" s="24">
        <v>4.2</v>
      </c>
    </row>
    <row r="607" spans="1:8" x14ac:dyDescent="0.3">
      <c r="A607" s="24" t="s">
        <v>347</v>
      </c>
      <c r="B607" s="24">
        <f t="shared" si="25"/>
        <v>6.2981422646010768E-2</v>
      </c>
      <c r="E607" s="24" t="s">
        <v>350</v>
      </c>
      <c r="F607" s="24">
        <v>0</v>
      </c>
    </row>
    <row r="608" spans="1:8" x14ac:dyDescent="0.3">
      <c r="A608" s="24" t="s">
        <v>348</v>
      </c>
      <c r="B608" s="24">
        <f t="shared" si="25"/>
        <v>0.13226098755662261</v>
      </c>
      <c r="E608" s="24" t="s">
        <v>350</v>
      </c>
      <c r="F608" s="24">
        <v>1</v>
      </c>
    </row>
    <row r="609" spans="1:8" x14ac:dyDescent="0.3">
      <c r="A609" s="24" t="s">
        <v>353</v>
      </c>
      <c r="B609" s="24">
        <f t="shared" si="25"/>
        <v>0.1851653825792717</v>
      </c>
      <c r="E609" s="24" t="s">
        <v>350</v>
      </c>
      <c r="F609" s="24">
        <v>2</v>
      </c>
    </row>
    <row r="610" spans="1:8" x14ac:dyDescent="0.3">
      <c r="A610" s="24" t="s">
        <v>354</v>
      </c>
      <c r="B610" s="24">
        <f t="shared" si="25"/>
        <v>0.19442365170823525</v>
      </c>
      <c r="E610" s="24" t="s">
        <v>350</v>
      </c>
      <c r="F610" s="24">
        <v>3</v>
      </c>
    </row>
    <row r="611" spans="1:8" x14ac:dyDescent="0.3">
      <c r="A611" s="24" t="s">
        <v>355</v>
      </c>
      <c r="B611" s="24">
        <f t="shared" si="25"/>
        <v>0.16331586743491761</v>
      </c>
      <c r="E611" s="24" t="s">
        <v>350</v>
      </c>
      <c r="F611" s="24">
        <v>4</v>
      </c>
    </row>
    <row r="612" spans="1:8" x14ac:dyDescent="0.3">
      <c r="E612" s="24" t="s">
        <v>350</v>
      </c>
      <c r="F612" s="24">
        <v>5</v>
      </c>
    </row>
    <row r="613" spans="1:8" ht="16.2" thickBot="1" x14ac:dyDescent="0.35"/>
    <row r="614" spans="1:8" ht="16.2" thickBot="1" x14ac:dyDescent="0.35">
      <c r="A614" s="245" t="s">
        <v>357</v>
      </c>
      <c r="B614" s="246"/>
      <c r="C614" s="246"/>
      <c r="D614" s="246"/>
      <c r="E614" s="246"/>
      <c r="F614" s="246"/>
      <c r="G614" s="246"/>
      <c r="H614" s="247"/>
    </row>
    <row r="615" spans="1:8" x14ac:dyDescent="0.3">
      <c r="C615" s="24" t="s">
        <v>53</v>
      </c>
      <c r="D615" s="24" t="s">
        <v>54</v>
      </c>
      <c r="E615" s="39" t="s">
        <v>345</v>
      </c>
      <c r="F615" s="24">
        <v>2.7182818284589998</v>
      </c>
    </row>
    <row r="616" spans="1:8" x14ac:dyDescent="0.3">
      <c r="C616" s="41">
        <f>POISSON(1,F616,1)</f>
        <v>0.17120125670913811</v>
      </c>
      <c r="D616" s="41">
        <f>1-POISSON(4,F616,1)</f>
        <v>0.21938748893269566</v>
      </c>
      <c r="E616" s="54" t="s">
        <v>351</v>
      </c>
      <c r="F616" s="24">
        <v>3.2</v>
      </c>
    </row>
    <row r="617" spans="1:8" x14ac:dyDescent="0.3">
      <c r="A617" s="24" t="s">
        <v>346</v>
      </c>
      <c r="B617" s="24">
        <f t="shared" ref="B617:B622" si="26">$F$615^-$F$616*$F$616^F617/FACT(F617)</f>
        <v>4.0762203978368397E-2</v>
      </c>
      <c r="C617" s="41">
        <f>SUM(B617:B618)</f>
        <v>0.17120125670914726</v>
      </c>
      <c r="D617" s="41">
        <f>1-SUM(B617:B621)</f>
        <v>0.21938748893265358</v>
      </c>
      <c r="E617" s="24" t="s">
        <v>350</v>
      </c>
      <c r="F617" s="24">
        <v>0</v>
      </c>
    </row>
    <row r="618" spans="1:8" x14ac:dyDescent="0.3">
      <c r="A618" s="24" t="s">
        <v>347</v>
      </c>
      <c r="B618" s="24">
        <f t="shared" si="26"/>
        <v>0.13043905273077888</v>
      </c>
      <c r="E618" s="24" t="s">
        <v>350</v>
      </c>
      <c r="F618" s="24">
        <v>1</v>
      </c>
    </row>
    <row r="619" spans="1:8" x14ac:dyDescent="0.3">
      <c r="A619" s="24" t="s">
        <v>348</v>
      </c>
      <c r="B619" s="24">
        <f t="shared" si="26"/>
        <v>0.20870248436924624</v>
      </c>
      <c r="E619" s="24" t="s">
        <v>350</v>
      </c>
      <c r="F619" s="24">
        <v>2</v>
      </c>
    </row>
    <row r="620" spans="1:8" x14ac:dyDescent="0.3">
      <c r="A620" s="24" t="s">
        <v>353</v>
      </c>
      <c r="B620" s="24">
        <f t="shared" si="26"/>
        <v>0.22261598332719601</v>
      </c>
      <c r="E620" s="24" t="s">
        <v>350</v>
      </c>
      <c r="F620" s="24">
        <v>3</v>
      </c>
    </row>
    <row r="621" spans="1:8" x14ac:dyDescent="0.3">
      <c r="A621" s="24" t="s">
        <v>354</v>
      </c>
      <c r="B621" s="24">
        <f t="shared" si="26"/>
        <v>0.17809278666175685</v>
      </c>
      <c r="E621" s="24" t="s">
        <v>350</v>
      </c>
      <c r="F621" s="24">
        <v>4</v>
      </c>
    </row>
    <row r="622" spans="1:8" x14ac:dyDescent="0.3">
      <c r="A622" s="24" t="s">
        <v>355</v>
      </c>
      <c r="B622" s="24">
        <f t="shared" si="26"/>
        <v>0.11397938346352439</v>
      </c>
      <c r="E622" s="24" t="s">
        <v>350</v>
      </c>
      <c r="F622" s="24">
        <v>5</v>
      </c>
    </row>
    <row r="623" spans="1:8" ht="16.2" thickBot="1" x14ac:dyDescent="0.35"/>
    <row r="624" spans="1:8" ht="16.2" thickBot="1" x14ac:dyDescent="0.35">
      <c r="A624" s="245" t="s">
        <v>358</v>
      </c>
      <c r="B624" s="246"/>
      <c r="C624" s="246"/>
      <c r="D624" s="246"/>
      <c r="E624" s="246"/>
      <c r="F624" s="246"/>
      <c r="G624" s="246"/>
      <c r="H624" s="247"/>
    </row>
    <row r="625" spans="1:8" x14ac:dyDescent="0.3">
      <c r="E625" s="39" t="s">
        <v>345</v>
      </c>
      <c r="F625" s="24">
        <v>2.7182818284589998</v>
      </c>
    </row>
    <row r="626" spans="1:8" x14ac:dyDescent="0.3">
      <c r="C626" s="55">
        <f>POISSON(2,F626,1)</f>
        <v>8.8376432356785439E-2</v>
      </c>
      <c r="D626" s="56"/>
      <c r="E626" s="54" t="s">
        <v>351</v>
      </c>
      <c r="F626" s="24">
        <v>5.5</v>
      </c>
      <c r="G626" s="24" t="s">
        <v>318</v>
      </c>
    </row>
    <row r="627" spans="1:8" x14ac:dyDescent="0.3">
      <c r="A627" s="24" t="s">
        <v>346</v>
      </c>
      <c r="B627" s="24">
        <f t="shared" ref="B627:B632" si="27">$F$625^-$F$626*$F$626^F627/FACT(F627)</f>
        <v>4.0867714384644448E-3</v>
      </c>
      <c r="C627" s="55">
        <f>SUM(B627:B629)</f>
        <v>8.8376432356793613E-2</v>
      </c>
      <c r="D627" s="56"/>
      <c r="E627" s="24" t="s">
        <v>350</v>
      </c>
      <c r="F627" s="24">
        <v>0</v>
      </c>
    </row>
    <row r="628" spans="1:8" x14ac:dyDescent="0.3">
      <c r="A628" s="24" t="s">
        <v>347</v>
      </c>
      <c r="B628" s="24">
        <f t="shared" si="27"/>
        <v>2.2477242911554444E-2</v>
      </c>
      <c r="E628" s="24" t="s">
        <v>350</v>
      </c>
      <c r="F628" s="24">
        <v>1</v>
      </c>
    </row>
    <row r="629" spans="1:8" x14ac:dyDescent="0.3">
      <c r="A629" s="24" t="s">
        <v>348</v>
      </c>
      <c r="B629" s="24">
        <f t="shared" si="27"/>
        <v>6.1812418006774728E-2</v>
      </c>
      <c r="E629" s="24" t="s">
        <v>350</v>
      </c>
      <c r="F629" s="24">
        <v>2</v>
      </c>
    </row>
    <row r="630" spans="1:8" x14ac:dyDescent="0.3">
      <c r="A630" s="24" t="s">
        <v>353</v>
      </c>
      <c r="B630" s="24">
        <f t="shared" si="27"/>
        <v>0.11332276634575367</v>
      </c>
      <c r="E630" s="24" t="s">
        <v>350</v>
      </c>
      <c r="F630" s="24">
        <v>3</v>
      </c>
    </row>
    <row r="631" spans="1:8" x14ac:dyDescent="0.3">
      <c r="A631" s="24" t="s">
        <v>354</v>
      </c>
      <c r="B631" s="24">
        <f t="shared" si="27"/>
        <v>0.15581880372541129</v>
      </c>
      <c r="E631" s="24" t="s">
        <v>350</v>
      </c>
      <c r="F631" s="24">
        <v>4</v>
      </c>
    </row>
    <row r="632" spans="1:8" x14ac:dyDescent="0.3">
      <c r="A632" s="24" t="s">
        <v>355</v>
      </c>
      <c r="B632" s="24">
        <f t="shared" si="27"/>
        <v>0.17140068409795242</v>
      </c>
      <c r="E632" s="24" t="s">
        <v>350</v>
      </c>
      <c r="F632" s="24">
        <v>5</v>
      </c>
    </row>
    <row r="633" spans="1:8" ht="16.2" thickBot="1" x14ac:dyDescent="0.35"/>
    <row r="634" spans="1:8" ht="16.2" thickBot="1" x14ac:dyDescent="0.35">
      <c r="A634" s="245" t="s">
        <v>359</v>
      </c>
      <c r="B634" s="246"/>
      <c r="C634" s="246"/>
      <c r="D634" s="246"/>
      <c r="E634" s="246"/>
      <c r="F634" s="246"/>
      <c r="G634" s="246"/>
      <c r="H634" s="247"/>
    </row>
    <row r="635" spans="1:8" x14ac:dyDescent="0.3">
      <c r="E635" s="39" t="s">
        <v>345</v>
      </c>
      <c r="F635" s="24">
        <v>2.7182818284589998</v>
      </c>
    </row>
    <row r="636" spans="1:8" x14ac:dyDescent="0.3">
      <c r="C636" s="55">
        <f>POISSON(3,F636,1)</f>
        <v>0.75757613313306593</v>
      </c>
      <c r="D636" s="56"/>
      <c r="E636" s="54" t="s">
        <v>351</v>
      </c>
      <c r="F636" s="24">
        <v>2.5</v>
      </c>
      <c r="G636" s="24" t="s">
        <v>361</v>
      </c>
      <c r="H636" s="24">
        <f>250*0.01</f>
        <v>2.5</v>
      </c>
    </row>
    <row r="637" spans="1:8" x14ac:dyDescent="0.3">
      <c r="A637" s="24" t="s">
        <v>346</v>
      </c>
      <c r="B637" s="24">
        <f t="shared" ref="B637:B642" si="28">$F$635^-$F$636*$F$636^F637/FACT(F637)</f>
        <v>8.2084998623902214E-2</v>
      </c>
      <c r="C637" s="55">
        <f>SUM(B637:B640)</f>
        <v>0.75757613313309746</v>
      </c>
      <c r="D637" s="56"/>
      <c r="E637" s="24" t="s">
        <v>350</v>
      </c>
      <c r="F637" s="24">
        <v>0</v>
      </c>
    </row>
    <row r="638" spans="1:8" x14ac:dyDescent="0.3">
      <c r="A638" s="24" t="s">
        <v>347</v>
      </c>
      <c r="B638" s="24">
        <f t="shared" si="28"/>
        <v>0.20521249655975554</v>
      </c>
      <c r="E638" s="24" t="s">
        <v>350</v>
      </c>
      <c r="F638" s="24">
        <v>1</v>
      </c>
    </row>
    <row r="639" spans="1:8" x14ac:dyDescent="0.3">
      <c r="A639" s="24" t="s">
        <v>348</v>
      </c>
      <c r="B639" s="24">
        <f t="shared" si="28"/>
        <v>0.25651562069969441</v>
      </c>
      <c r="E639" s="24" t="s">
        <v>350</v>
      </c>
      <c r="F639" s="24">
        <v>2</v>
      </c>
    </row>
    <row r="640" spans="1:8" x14ac:dyDescent="0.3">
      <c r="A640" s="24" t="s">
        <v>353</v>
      </c>
      <c r="B640" s="24">
        <f t="shared" si="28"/>
        <v>0.21376301724974534</v>
      </c>
      <c r="E640" s="24" t="s">
        <v>350</v>
      </c>
      <c r="F640" s="24">
        <v>3</v>
      </c>
    </row>
    <row r="641" spans="1:8" x14ac:dyDescent="0.3">
      <c r="A641" s="24" t="s">
        <v>354</v>
      </c>
      <c r="B641" s="24">
        <f t="shared" si="28"/>
        <v>0.13360188578109083</v>
      </c>
      <c r="E641" s="24" t="s">
        <v>350</v>
      </c>
      <c r="F641" s="24">
        <v>4</v>
      </c>
    </row>
    <row r="642" spans="1:8" x14ac:dyDescent="0.3">
      <c r="A642" s="24" t="s">
        <v>355</v>
      </c>
      <c r="B642" s="24">
        <f t="shared" si="28"/>
        <v>6.6800942890545417E-2</v>
      </c>
      <c r="E642" s="24" t="s">
        <v>350</v>
      </c>
      <c r="F642" s="24">
        <v>5</v>
      </c>
    </row>
    <row r="643" spans="1:8" ht="16.2" thickBot="1" x14ac:dyDescent="0.35"/>
    <row r="644" spans="1:8" ht="16.2" thickBot="1" x14ac:dyDescent="0.35">
      <c r="A644" s="245" t="s">
        <v>360</v>
      </c>
      <c r="B644" s="246"/>
      <c r="C644" s="246"/>
      <c r="D644" s="246"/>
      <c r="E644" s="246"/>
      <c r="F644" s="246"/>
      <c r="G644" s="246"/>
      <c r="H644" s="247"/>
    </row>
    <row r="645" spans="1:8" x14ac:dyDescent="0.3">
      <c r="E645" s="39" t="s">
        <v>345</v>
      </c>
      <c r="F645" s="24">
        <v>2.7182818284589998</v>
      </c>
    </row>
    <row r="646" spans="1:8" x14ac:dyDescent="0.3">
      <c r="C646" s="55">
        <f>1-POISSON(2,F646,1)</f>
        <v>0.93803119558334103</v>
      </c>
      <c r="D646" s="56"/>
      <c r="E646" s="54" t="s">
        <v>351</v>
      </c>
      <c r="F646" s="24">
        <f>6000*0.001</f>
        <v>6</v>
      </c>
      <c r="G646" s="24" t="s">
        <v>361</v>
      </c>
    </row>
    <row r="647" spans="1:8" x14ac:dyDescent="0.3">
      <c r="A647" s="24" t="s">
        <v>346</v>
      </c>
      <c r="B647" s="24">
        <f t="shared" ref="B647:B652" si="29">$F$645^-$F$646*$F$646^F647/FACT(F647)</f>
        <v>2.478752176666607E-3</v>
      </c>
      <c r="C647" s="55">
        <f>1-SUM(B647:B649)</f>
        <v>0.93803119558333481</v>
      </c>
      <c r="D647" s="56"/>
      <c r="E647" s="24" t="s">
        <v>350</v>
      </c>
      <c r="F647" s="24">
        <v>0</v>
      </c>
    </row>
    <row r="648" spans="1:8" x14ac:dyDescent="0.3">
      <c r="A648" s="24" t="s">
        <v>347</v>
      </c>
      <c r="B648" s="24">
        <f t="shared" si="29"/>
        <v>1.4872513059999641E-2</v>
      </c>
      <c r="E648" s="24" t="s">
        <v>350</v>
      </c>
      <c r="F648" s="24">
        <v>1</v>
      </c>
    </row>
    <row r="649" spans="1:8" x14ac:dyDescent="0.3">
      <c r="A649" s="24" t="s">
        <v>348</v>
      </c>
      <c r="B649" s="24">
        <f t="shared" si="29"/>
        <v>4.4617539179998923E-2</v>
      </c>
      <c r="E649" s="24" t="s">
        <v>350</v>
      </c>
      <c r="F649" s="24">
        <v>2</v>
      </c>
    </row>
    <row r="650" spans="1:8" x14ac:dyDescent="0.3">
      <c r="A650" s="24" t="s">
        <v>353</v>
      </c>
      <c r="B650" s="24">
        <f t="shared" si="29"/>
        <v>8.9235078359997846E-2</v>
      </c>
      <c r="E650" s="24" t="s">
        <v>350</v>
      </c>
      <c r="F650" s="24">
        <v>3</v>
      </c>
    </row>
    <row r="651" spans="1:8" x14ac:dyDescent="0.3">
      <c r="A651" s="24" t="s">
        <v>354</v>
      </c>
      <c r="B651" s="24">
        <f t="shared" si="29"/>
        <v>0.13385261753999678</v>
      </c>
      <c r="E651" s="24" t="s">
        <v>350</v>
      </c>
      <c r="F651" s="24">
        <v>4</v>
      </c>
    </row>
    <row r="652" spans="1:8" x14ac:dyDescent="0.3">
      <c r="A652" s="24" t="s">
        <v>355</v>
      </c>
      <c r="B652" s="24">
        <f t="shared" si="29"/>
        <v>0.16062314104799613</v>
      </c>
      <c r="E652" s="24" t="s">
        <v>350</v>
      </c>
      <c r="F652" s="24">
        <v>5</v>
      </c>
    </row>
    <row r="653" spans="1:8" ht="16.2" thickBot="1" x14ac:dyDescent="0.35"/>
    <row r="654" spans="1:8" ht="16.2" thickBot="1" x14ac:dyDescent="0.35">
      <c r="A654" s="245" t="s">
        <v>362</v>
      </c>
      <c r="B654" s="246"/>
      <c r="C654" s="246"/>
      <c r="D654" s="246"/>
      <c r="E654" s="246"/>
      <c r="F654" s="246"/>
      <c r="G654" s="246"/>
      <c r="H654" s="247"/>
    </row>
    <row r="655" spans="1:8" x14ac:dyDescent="0.3">
      <c r="E655" s="39" t="s">
        <v>345</v>
      </c>
      <c r="F655" s="24">
        <v>2.7182818284589998</v>
      </c>
    </row>
    <row r="656" spans="1:8" x14ac:dyDescent="0.3">
      <c r="C656" s="57">
        <f>1-POISSON(2,F656,1)</f>
        <v>0.82642192908996392</v>
      </c>
      <c r="D656" s="56"/>
      <c r="E656" s="54" t="s">
        <v>351</v>
      </c>
      <c r="F656" s="24">
        <v>4.5</v>
      </c>
      <c r="G656" s="24" t="s">
        <v>361</v>
      </c>
    </row>
    <row r="657" spans="1:8" x14ac:dyDescent="0.3">
      <c r="A657" s="24" t="s">
        <v>346</v>
      </c>
      <c r="B657" s="24">
        <f t="shared" ref="B657:B662" si="30">$F$655^-$F$656*$F$656^F657/FACT(F657)</f>
        <v>1.1108996538243146E-2</v>
      </c>
      <c r="C657" s="57">
        <f>1-SUM(B657:B659)</f>
        <v>0.82642192908995082</v>
      </c>
      <c r="D657" s="56"/>
      <c r="E657" s="24" t="s">
        <v>350</v>
      </c>
      <c r="F657" s="24">
        <v>0</v>
      </c>
    </row>
    <row r="658" spans="1:8" x14ac:dyDescent="0.3">
      <c r="A658" s="24" t="s">
        <v>347</v>
      </c>
      <c r="B658" s="24">
        <f t="shared" si="30"/>
        <v>4.9990484422094153E-2</v>
      </c>
      <c r="E658" s="24" t="s">
        <v>350</v>
      </c>
      <c r="F658" s="24">
        <v>1</v>
      </c>
    </row>
    <row r="659" spans="1:8" x14ac:dyDescent="0.3">
      <c r="A659" s="24" t="s">
        <v>348</v>
      </c>
      <c r="B659" s="24">
        <f t="shared" si="30"/>
        <v>0.11247858994971185</v>
      </c>
      <c r="E659" s="24" t="s">
        <v>350</v>
      </c>
      <c r="F659" s="24">
        <v>2</v>
      </c>
    </row>
    <row r="660" spans="1:8" x14ac:dyDescent="0.3">
      <c r="A660" s="24" t="s">
        <v>353</v>
      </c>
      <c r="B660" s="24">
        <f t="shared" si="30"/>
        <v>0.16871788492456777</v>
      </c>
      <c r="E660" s="24" t="s">
        <v>350</v>
      </c>
      <c r="F660" s="24">
        <v>3</v>
      </c>
    </row>
    <row r="661" spans="1:8" x14ac:dyDescent="0.3">
      <c r="A661" s="24" t="s">
        <v>354</v>
      </c>
      <c r="B661" s="24">
        <f t="shared" si="30"/>
        <v>0.18980762054013875</v>
      </c>
      <c r="E661" s="24" t="s">
        <v>350</v>
      </c>
      <c r="F661" s="24">
        <v>4</v>
      </c>
    </row>
    <row r="662" spans="1:8" x14ac:dyDescent="0.3">
      <c r="A662" s="24" t="s">
        <v>355</v>
      </c>
      <c r="B662" s="24">
        <f t="shared" si="30"/>
        <v>0.17082685848612486</v>
      </c>
      <c r="E662" s="24" t="s">
        <v>350</v>
      </c>
      <c r="F662" s="24">
        <v>5</v>
      </c>
    </row>
    <row r="663" spans="1:8" ht="16.2" thickBot="1" x14ac:dyDescent="0.35"/>
    <row r="664" spans="1:8" ht="16.2" thickBot="1" x14ac:dyDescent="0.35">
      <c r="A664" s="245" t="s">
        <v>363</v>
      </c>
      <c r="B664" s="246"/>
      <c r="C664" s="246"/>
      <c r="D664" s="246"/>
      <c r="E664" s="246"/>
      <c r="F664" s="246"/>
      <c r="G664" s="246"/>
      <c r="H664" s="247"/>
    </row>
    <row r="665" spans="1:8" ht="15.75" customHeight="1" x14ac:dyDescent="0.3">
      <c r="A665" s="251" t="s">
        <v>364</v>
      </c>
      <c r="B665" s="251"/>
      <c r="C665" s="251"/>
      <c r="D665" s="251"/>
      <c r="E665" s="251"/>
      <c r="F665" s="251"/>
      <c r="G665" s="251"/>
      <c r="H665" s="251"/>
    </row>
    <row r="666" spans="1:8" x14ac:dyDescent="0.3">
      <c r="A666" s="252"/>
      <c r="B666" s="252"/>
      <c r="C666" s="252"/>
      <c r="D666" s="252"/>
      <c r="E666" s="252"/>
      <c r="F666" s="252"/>
      <c r="G666" s="252"/>
      <c r="H666" s="252"/>
    </row>
    <row r="667" spans="1:8" x14ac:dyDescent="0.3">
      <c r="A667" s="252"/>
      <c r="B667" s="252"/>
      <c r="C667" s="252"/>
      <c r="D667" s="252"/>
      <c r="E667" s="252"/>
      <c r="F667" s="252"/>
      <c r="G667" s="252"/>
      <c r="H667" s="252"/>
    </row>
    <row r="668" spans="1:8" x14ac:dyDescent="0.3">
      <c r="A668" s="252"/>
      <c r="B668" s="252"/>
      <c r="C668" s="252"/>
      <c r="D668" s="252"/>
      <c r="E668" s="252"/>
      <c r="F668" s="252"/>
      <c r="G668" s="252"/>
      <c r="H668" s="252"/>
    </row>
    <row r="669" spans="1:8" ht="16.2" thickBot="1" x14ac:dyDescent="0.35"/>
    <row r="670" spans="1:8" ht="16.2" thickBot="1" x14ac:dyDescent="0.35">
      <c r="A670" s="245" t="s">
        <v>365</v>
      </c>
      <c r="B670" s="246"/>
      <c r="C670" s="246"/>
      <c r="D670" s="246"/>
      <c r="E670" s="246"/>
      <c r="F670" s="246"/>
      <c r="G670" s="246"/>
      <c r="H670" s="247"/>
    </row>
    <row r="671" spans="1:8" x14ac:dyDescent="0.3">
      <c r="A671" s="24" t="s">
        <v>53</v>
      </c>
      <c r="B671" s="276" t="s">
        <v>54</v>
      </c>
      <c r="C671" s="276"/>
      <c r="D671" s="276"/>
      <c r="E671" s="276"/>
      <c r="F671" s="276"/>
      <c r="G671" s="276"/>
      <c r="H671" s="276"/>
    </row>
    <row r="672" spans="1:8" ht="30" customHeight="1" x14ac:dyDescent="0.3">
      <c r="A672" s="41" t="s">
        <v>207</v>
      </c>
      <c r="B672" s="249" t="s">
        <v>366</v>
      </c>
      <c r="C672" s="249"/>
      <c r="D672" s="249"/>
      <c r="E672" s="249"/>
      <c r="F672" s="249"/>
      <c r="G672" s="249"/>
      <c r="H672" s="249"/>
    </row>
    <row r="673" spans="1:8" ht="16.2" thickBot="1" x14ac:dyDescent="0.35"/>
    <row r="674" spans="1:8" ht="16.2" thickBot="1" x14ac:dyDescent="0.35">
      <c r="A674" s="245" t="s">
        <v>367</v>
      </c>
      <c r="B674" s="246"/>
      <c r="C674" s="246"/>
      <c r="D674" s="246"/>
      <c r="E674" s="246"/>
      <c r="F674" s="246"/>
      <c r="G674" s="246"/>
      <c r="H674" s="247"/>
    </row>
    <row r="675" spans="1:8" x14ac:dyDescent="0.3">
      <c r="A675" s="276" t="s">
        <v>53</v>
      </c>
      <c r="B675" s="276"/>
      <c r="C675" s="276"/>
      <c r="D675" s="276" t="s">
        <v>54</v>
      </c>
      <c r="E675" s="276"/>
      <c r="F675" s="276" t="s">
        <v>371</v>
      </c>
      <c r="G675" s="276"/>
      <c r="H675" s="276"/>
    </row>
    <row r="676" spans="1:8" ht="87" customHeight="1" x14ac:dyDescent="0.3">
      <c r="A676" s="249" t="s">
        <v>368</v>
      </c>
      <c r="B676" s="249"/>
      <c r="C676" s="249"/>
      <c r="D676" s="249" t="s">
        <v>369</v>
      </c>
      <c r="E676" s="249"/>
      <c r="F676" s="249" t="s">
        <v>370</v>
      </c>
      <c r="G676" s="249"/>
      <c r="H676" s="249"/>
    </row>
    <row r="677" spans="1:8" ht="16.2" thickBot="1" x14ac:dyDescent="0.35"/>
    <row r="678" spans="1:8" ht="16.2" thickBot="1" x14ac:dyDescent="0.35">
      <c r="A678" s="245" t="s">
        <v>372</v>
      </c>
      <c r="B678" s="253"/>
      <c r="C678" s="253"/>
      <c r="D678" s="253"/>
      <c r="E678" s="253"/>
      <c r="F678" s="253"/>
      <c r="G678" s="253"/>
      <c r="H678" s="277"/>
    </row>
    <row r="679" spans="1:8" x14ac:dyDescent="0.3">
      <c r="A679" s="24" t="s">
        <v>53</v>
      </c>
      <c r="B679" s="249" t="s">
        <v>373</v>
      </c>
      <c r="C679" s="249"/>
      <c r="D679" s="249"/>
      <c r="E679" s="249"/>
      <c r="F679" s="249"/>
      <c r="G679" s="249"/>
      <c r="H679" s="249"/>
    </row>
    <row r="680" spans="1:8" x14ac:dyDescent="0.3">
      <c r="A680" s="24" t="s">
        <v>54</v>
      </c>
      <c r="B680" s="249" t="s">
        <v>374</v>
      </c>
      <c r="C680" s="249"/>
      <c r="D680" s="249"/>
      <c r="E680" s="249"/>
      <c r="F680" s="249"/>
      <c r="G680" s="249"/>
      <c r="H680" s="249"/>
    </row>
    <row r="681" spans="1:8" ht="47.25" customHeight="1" x14ac:dyDescent="0.3">
      <c r="A681" s="24" t="s">
        <v>55</v>
      </c>
      <c r="B681" s="249" t="s">
        <v>375</v>
      </c>
      <c r="C681" s="249"/>
      <c r="D681" s="249"/>
      <c r="E681" s="249"/>
      <c r="F681" s="249"/>
      <c r="G681" s="249"/>
      <c r="H681" s="249"/>
    </row>
    <row r="682" spans="1:8" ht="33" customHeight="1" x14ac:dyDescent="0.3">
      <c r="A682" s="24" t="s">
        <v>56</v>
      </c>
      <c r="B682" s="249" t="s">
        <v>376</v>
      </c>
      <c r="C682" s="249"/>
      <c r="D682" s="249"/>
      <c r="E682" s="249"/>
      <c r="F682" s="249"/>
      <c r="G682" s="249"/>
      <c r="H682" s="249"/>
    </row>
    <row r="683" spans="1:8" ht="16.2" thickBot="1" x14ac:dyDescent="0.35"/>
    <row r="684" spans="1:8" ht="16.2" thickBot="1" x14ac:dyDescent="0.35">
      <c r="A684" s="245" t="s">
        <v>377</v>
      </c>
      <c r="B684" s="246"/>
      <c r="C684" s="246"/>
      <c r="D684" s="246"/>
      <c r="E684" s="246"/>
      <c r="F684" s="246"/>
      <c r="G684" s="246"/>
      <c r="H684" s="247"/>
    </row>
    <row r="685" spans="1:8" ht="31.2" x14ac:dyDescent="0.3">
      <c r="A685" s="24" t="s">
        <v>378</v>
      </c>
      <c r="B685" s="24" t="s">
        <v>217</v>
      </c>
      <c r="C685" s="24" t="s">
        <v>215</v>
      </c>
      <c r="D685" s="24" t="s">
        <v>53</v>
      </c>
      <c r="E685" s="24" t="s">
        <v>54</v>
      </c>
      <c r="F685" s="24" t="s">
        <v>55</v>
      </c>
      <c r="G685" s="24" t="s">
        <v>56</v>
      </c>
      <c r="H685" s="24" t="s">
        <v>138</v>
      </c>
    </row>
    <row r="686" spans="1:8" x14ac:dyDescent="0.3">
      <c r="A686" s="24">
        <v>1</v>
      </c>
      <c r="B686" s="24">
        <v>0.05</v>
      </c>
      <c r="C686" s="24">
        <f>B686</f>
        <v>0.05</v>
      </c>
      <c r="D686" s="41">
        <f>C687</f>
        <v>0.25</v>
      </c>
      <c r="E686" s="24">
        <f>A686*B686</f>
        <v>0.05</v>
      </c>
      <c r="F686" s="24">
        <f>B686*(A686-$E$692)^2</f>
        <v>0.24200000000000005</v>
      </c>
      <c r="G686" s="41">
        <f>20000+E692*2000</f>
        <v>26400</v>
      </c>
      <c r="H686" s="44">
        <f>1-POISSON(3,E692,1)</f>
        <v>0.39748027559444288</v>
      </c>
    </row>
    <row r="687" spans="1:8" x14ac:dyDescent="0.3">
      <c r="A687" s="24">
        <v>2</v>
      </c>
      <c r="B687" s="24">
        <v>0.2</v>
      </c>
      <c r="C687" s="24">
        <f>B687+C686</f>
        <v>0.25</v>
      </c>
      <c r="E687" s="24">
        <f>A687*B687</f>
        <v>0.4</v>
      </c>
      <c r="F687" s="24">
        <f>B687*(A687-$E$692)^2</f>
        <v>0.28800000000000009</v>
      </c>
      <c r="G687" s="41">
        <f>F694*2000</f>
        <v>2059.1260281974005</v>
      </c>
      <c r="H687" s="24">
        <f>$F$655^-$E$692*$E$692^B695/FACT(B695)</f>
        <v>4.0762203978368397E-2</v>
      </c>
    </row>
    <row r="688" spans="1:8" x14ac:dyDescent="0.3">
      <c r="A688" s="24">
        <v>3</v>
      </c>
      <c r="B688" s="24">
        <v>0.35</v>
      </c>
      <c r="C688" s="24">
        <f>B688+C687</f>
        <v>0.6</v>
      </c>
      <c r="E688" s="24">
        <f>A688*B688</f>
        <v>1.0499999999999998</v>
      </c>
      <c r="F688" s="24">
        <f>B688*(A688-$E$692)^2</f>
        <v>1.4000000000000023E-2</v>
      </c>
      <c r="H688" s="24">
        <f>$F$655^-$E$692*$E$692^B696/FACT(B696)</f>
        <v>0.13043905273077888</v>
      </c>
    </row>
    <row r="689" spans="1:8" x14ac:dyDescent="0.3">
      <c r="A689" s="24">
        <v>4</v>
      </c>
      <c r="B689" s="24">
        <v>0.3</v>
      </c>
      <c r="C689" s="24">
        <f>B689+C688</f>
        <v>0.89999999999999991</v>
      </c>
      <c r="E689" s="24">
        <f>A689*B689</f>
        <v>1.2</v>
      </c>
      <c r="F689" s="24">
        <f>B689*(A689-$E$692)^2</f>
        <v>0.19199999999999989</v>
      </c>
      <c r="H689" s="24">
        <f>$F$655^-$E$692*$E$692^B697/FACT(B697)</f>
        <v>0.20870248436924624</v>
      </c>
    </row>
    <row r="690" spans="1:8" x14ac:dyDescent="0.3">
      <c r="A690" s="24">
        <v>5</v>
      </c>
      <c r="B690" s="24">
        <v>0.1</v>
      </c>
      <c r="C690" s="24">
        <f>B690+C689</f>
        <v>0.99999999999999989</v>
      </c>
      <c r="E690" s="24">
        <f>A690*B690</f>
        <v>0.5</v>
      </c>
      <c r="F690" s="24">
        <f>B690*(A690-$E$692)^2</f>
        <v>0.32399999999999995</v>
      </c>
      <c r="H690" s="24">
        <f>$F$655^-$E$692*$E$692^B698/FACT(B698)</f>
        <v>0.22261598332719601</v>
      </c>
    </row>
    <row r="691" spans="1:8" x14ac:dyDescent="0.3">
      <c r="A691" s="24" t="s">
        <v>98</v>
      </c>
      <c r="B691" s="24">
        <f>SUM(B686:B690)</f>
        <v>0.99999999999999989</v>
      </c>
      <c r="E691" s="24">
        <f>SUM(E686:E690)</f>
        <v>3.1999999999999997</v>
      </c>
      <c r="F691" s="24">
        <f>SUM(F686:F690)</f>
        <v>1.06</v>
      </c>
      <c r="H691" s="44">
        <f>1-SUM(H687:H690)</f>
        <v>0.39748027559441046</v>
      </c>
    </row>
    <row r="692" spans="1:8" x14ac:dyDescent="0.3">
      <c r="A692" s="24" t="s">
        <v>3</v>
      </c>
      <c r="E692" s="41">
        <f>E691/B691</f>
        <v>3.2</v>
      </c>
      <c r="H692" s="41">
        <f>H691*H691*(1-H691)*COMBIN(3,2)+H691*H691*H691</f>
        <v>0.34837543825811546</v>
      </c>
    </row>
    <row r="693" spans="1:8" x14ac:dyDescent="0.3">
      <c r="A693" s="24" t="s">
        <v>134</v>
      </c>
      <c r="F693" s="24">
        <f>F691/B691</f>
        <v>1.0600000000000003</v>
      </c>
      <c r="H693" s="41">
        <f>COMBIN(3,2)*H691^2*(1-H691)^1+COMBIN(3,3)*H691^3*(1-H691)^0</f>
        <v>0.34837543825811546</v>
      </c>
    </row>
    <row r="694" spans="1:8" ht="31.2" x14ac:dyDescent="0.3">
      <c r="A694" s="24" t="s">
        <v>4</v>
      </c>
      <c r="F694" s="41">
        <f>SQRT(F693)</f>
        <v>1.0295630140987002</v>
      </c>
    </row>
    <row r="695" spans="1:8" x14ac:dyDescent="0.3">
      <c r="A695" s="24" t="s">
        <v>379</v>
      </c>
      <c r="B695" s="24">
        <v>0</v>
      </c>
    </row>
    <row r="696" spans="1:8" x14ac:dyDescent="0.3">
      <c r="A696" s="24" t="s">
        <v>379</v>
      </c>
      <c r="B696" s="24">
        <v>1</v>
      </c>
    </row>
    <row r="697" spans="1:8" x14ac:dyDescent="0.3">
      <c r="A697" s="24" t="s">
        <v>379</v>
      </c>
      <c r="B697" s="24">
        <v>2</v>
      </c>
    </row>
    <row r="698" spans="1:8" x14ac:dyDescent="0.3">
      <c r="A698" s="24" t="s">
        <v>379</v>
      </c>
      <c r="B698" s="24">
        <v>3</v>
      </c>
    </row>
    <row r="699" spans="1:8" ht="16.2" thickBot="1" x14ac:dyDescent="0.35"/>
    <row r="700" spans="1:8" ht="16.2" thickBot="1" x14ac:dyDescent="0.35">
      <c r="A700" s="245" t="s">
        <v>380</v>
      </c>
      <c r="B700" s="246"/>
      <c r="C700" s="246"/>
      <c r="D700" s="246"/>
      <c r="E700" s="246"/>
      <c r="F700" s="246"/>
      <c r="G700" s="246"/>
      <c r="H700" s="247"/>
    </row>
    <row r="701" spans="1:8" ht="31.2" x14ac:dyDescent="0.3">
      <c r="A701" s="24" t="s">
        <v>381</v>
      </c>
      <c r="B701" s="24" t="s">
        <v>217</v>
      </c>
      <c r="C701" s="46" t="s">
        <v>53</v>
      </c>
      <c r="D701" s="46" t="s">
        <v>54</v>
      </c>
      <c r="E701" s="250" t="s">
        <v>55</v>
      </c>
      <c r="F701" s="250"/>
      <c r="G701" s="46" t="s">
        <v>56</v>
      </c>
    </row>
    <row r="702" spans="1:8" x14ac:dyDescent="0.3">
      <c r="A702" s="24">
        <v>0</v>
      </c>
      <c r="B702" s="24">
        <v>0.1</v>
      </c>
      <c r="C702" s="24">
        <f t="shared" ref="C702:C707" si="31">A702*B702</f>
        <v>0</v>
      </c>
      <c r="D702" s="24">
        <f t="shared" ref="D702:D707" si="32">B702*(A702-$C$709)^2</f>
        <v>0.48841000000000001</v>
      </c>
      <c r="E702" s="24">
        <f t="shared" ref="E702:E707" si="33">250+A702*300</f>
        <v>250</v>
      </c>
      <c r="F702" s="24">
        <f t="shared" ref="F702:F707" si="34">B702*E702</f>
        <v>25</v>
      </c>
      <c r="G702" s="41">
        <f>SUM(B705:B707)</f>
        <v>0.35000000000000003</v>
      </c>
    </row>
    <row r="703" spans="1:8" x14ac:dyDescent="0.3">
      <c r="A703" s="24">
        <v>1</v>
      </c>
      <c r="B703" s="24">
        <v>0.2</v>
      </c>
      <c r="C703" s="24">
        <f t="shared" si="31"/>
        <v>0.2</v>
      </c>
      <c r="D703" s="24">
        <f t="shared" si="32"/>
        <v>0.29282000000000002</v>
      </c>
      <c r="E703" s="24">
        <f t="shared" si="33"/>
        <v>550</v>
      </c>
      <c r="F703" s="24">
        <f t="shared" si="34"/>
        <v>110</v>
      </c>
    </row>
    <row r="704" spans="1:8" x14ac:dyDescent="0.3">
      <c r="A704" s="24">
        <v>2</v>
      </c>
      <c r="B704" s="24">
        <v>0.35</v>
      </c>
      <c r="C704" s="24">
        <f t="shared" si="31"/>
        <v>0.7</v>
      </c>
      <c r="D704" s="24">
        <f t="shared" si="32"/>
        <v>1.5434999999999994E-2</v>
      </c>
      <c r="E704" s="24">
        <f t="shared" si="33"/>
        <v>850</v>
      </c>
      <c r="F704" s="24">
        <f t="shared" si="34"/>
        <v>297.5</v>
      </c>
    </row>
    <row r="705" spans="1:8" x14ac:dyDescent="0.3">
      <c r="A705" s="24">
        <v>3</v>
      </c>
      <c r="B705" s="24">
        <v>0.16</v>
      </c>
      <c r="C705" s="24">
        <f t="shared" si="31"/>
        <v>0.48</v>
      </c>
      <c r="D705" s="24">
        <f t="shared" si="32"/>
        <v>9.9856000000000014E-2</v>
      </c>
      <c r="E705" s="24">
        <f t="shared" si="33"/>
        <v>1150</v>
      </c>
      <c r="F705" s="24">
        <f t="shared" si="34"/>
        <v>184</v>
      </c>
    </row>
    <row r="706" spans="1:8" x14ac:dyDescent="0.3">
      <c r="A706" s="24">
        <v>4</v>
      </c>
      <c r="B706" s="24">
        <v>0.12</v>
      </c>
      <c r="C706" s="24">
        <f t="shared" si="31"/>
        <v>0.48</v>
      </c>
      <c r="D706" s="24">
        <f t="shared" si="32"/>
        <v>0.384492</v>
      </c>
      <c r="E706" s="24">
        <f t="shared" si="33"/>
        <v>1450</v>
      </c>
      <c r="F706" s="24">
        <f t="shared" si="34"/>
        <v>174</v>
      </c>
    </row>
    <row r="707" spans="1:8" x14ac:dyDescent="0.3">
      <c r="A707" s="24">
        <v>5</v>
      </c>
      <c r="B707" s="24">
        <v>7.0000000000000007E-2</v>
      </c>
      <c r="C707" s="24">
        <f t="shared" si="31"/>
        <v>0.35000000000000003</v>
      </c>
      <c r="D707" s="24">
        <f t="shared" si="32"/>
        <v>0.54488700000000012</v>
      </c>
      <c r="E707" s="24">
        <f t="shared" si="33"/>
        <v>1750</v>
      </c>
      <c r="F707" s="24">
        <f t="shared" si="34"/>
        <v>122.50000000000001</v>
      </c>
    </row>
    <row r="708" spans="1:8" x14ac:dyDescent="0.3">
      <c r="A708" s="24" t="s">
        <v>98</v>
      </c>
      <c r="B708" s="24">
        <f>SUM(B702:B707)</f>
        <v>1</v>
      </c>
      <c r="C708" s="24">
        <f>SUM(C702:C707)</f>
        <v>2.21</v>
      </c>
      <c r="D708" s="24">
        <f>SUM(D702:D707)</f>
        <v>1.8259000000000003</v>
      </c>
      <c r="F708" s="41">
        <f>SUM(F702:F707)</f>
        <v>913</v>
      </c>
    </row>
    <row r="709" spans="1:8" x14ac:dyDescent="0.3">
      <c r="A709" s="24" t="s">
        <v>3</v>
      </c>
      <c r="C709" s="41">
        <f>C708/B708</f>
        <v>2.21</v>
      </c>
    </row>
    <row r="710" spans="1:8" x14ac:dyDescent="0.3">
      <c r="A710" s="24" t="s">
        <v>134</v>
      </c>
      <c r="D710" s="24">
        <f>D708/B708</f>
        <v>1.8259000000000003</v>
      </c>
    </row>
    <row r="711" spans="1:8" ht="31.2" x14ac:dyDescent="0.3">
      <c r="A711" s="24" t="s">
        <v>4</v>
      </c>
      <c r="D711" s="41">
        <f>SQRT(D710)</f>
        <v>1.351258672497609</v>
      </c>
      <c r="F711" s="41">
        <f>D711*300</f>
        <v>405.37760174928269</v>
      </c>
    </row>
    <row r="712" spans="1:8" ht="16.2" thickBot="1" x14ac:dyDescent="0.35"/>
    <row r="713" spans="1:8" ht="16.2" thickBot="1" x14ac:dyDescent="0.35">
      <c r="A713" s="245" t="s">
        <v>382</v>
      </c>
      <c r="B713" s="246"/>
      <c r="C713" s="246"/>
      <c r="D713" s="246"/>
      <c r="E713" s="246"/>
      <c r="F713" s="246"/>
      <c r="G713" s="246"/>
      <c r="H713" s="247"/>
    </row>
    <row r="714" spans="1:8" x14ac:dyDescent="0.3">
      <c r="A714" s="46" t="s">
        <v>53</v>
      </c>
      <c r="B714" s="46" t="s">
        <v>54</v>
      </c>
      <c r="C714" s="46" t="s">
        <v>55</v>
      </c>
    </row>
    <row r="715" spans="1:8" ht="31.2" x14ac:dyDescent="0.3">
      <c r="A715" s="24" t="s">
        <v>3</v>
      </c>
      <c r="B715" s="24" t="s">
        <v>4</v>
      </c>
      <c r="C715" s="24" t="s">
        <v>383</v>
      </c>
    </row>
    <row r="716" spans="1:8" x14ac:dyDescent="0.3">
      <c r="A716" s="41">
        <f>1/4*9</f>
        <v>2.25</v>
      </c>
      <c r="B716" s="55">
        <f>SQRT(9*0.25*0.75)</f>
        <v>1.299038105676658</v>
      </c>
      <c r="C716" s="41">
        <f>A716*1+1</f>
        <v>3.25</v>
      </c>
    </row>
    <row r="717" spans="1:8" x14ac:dyDescent="0.3">
      <c r="C717" s="41">
        <f>B716*1</f>
        <v>1.299038105676658</v>
      </c>
    </row>
    <row r="718" spans="1:8" ht="16.2" thickBot="1" x14ac:dyDescent="0.35">
      <c r="B718" s="26"/>
    </row>
    <row r="719" spans="1:8" ht="16.2" thickBot="1" x14ac:dyDescent="0.35">
      <c r="A719" s="245" t="s">
        <v>384</v>
      </c>
      <c r="B719" s="246"/>
      <c r="C719" s="246"/>
      <c r="D719" s="246"/>
      <c r="E719" s="246"/>
      <c r="F719" s="246"/>
      <c r="G719" s="246"/>
      <c r="H719" s="247"/>
    </row>
    <row r="720" spans="1:8" x14ac:dyDescent="0.3">
      <c r="A720" s="250" t="s">
        <v>53</v>
      </c>
      <c r="B720" s="250"/>
      <c r="C720" s="250" t="s">
        <v>54</v>
      </c>
      <c r="D720" s="250"/>
      <c r="E720" s="250"/>
      <c r="F720" s="250" t="s">
        <v>55</v>
      </c>
      <c r="G720" s="250"/>
      <c r="H720" s="250"/>
    </row>
    <row r="721" spans="1:8" ht="31.95" customHeight="1" x14ac:dyDescent="0.3">
      <c r="A721" s="249" t="s">
        <v>385</v>
      </c>
      <c r="B721" s="249"/>
      <c r="C721" s="249" t="s">
        <v>386</v>
      </c>
      <c r="D721" s="249"/>
      <c r="E721" s="249"/>
      <c r="F721" s="249" t="s">
        <v>387</v>
      </c>
      <c r="G721" s="249"/>
      <c r="H721" s="249"/>
    </row>
    <row r="722" spans="1:8" ht="16.2" thickBot="1" x14ac:dyDescent="0.35">
      <c r="B722" s="26"/>
    </row>
    <row r="723" spans="1:8" ht="16.2" thickBot="1" x14ac:dyDescent="0.35">
      <c r="A723" s="245" t="s">
        <v>388</v>
      </c>
      <c r="B723" s="246"/>
      <c r="C723" s="246"/>
      <c r="D723" s="246"/>
      <c r="E723" s="246"/>
      <c r="F723" s="246"/>
      <c r="G723" s="246"/>
      <c r="H723" s="247"/>
    </row>
    <row r="724" spans="1:8" ht="62.4" x14ac:dyDescent="0.3">
      <c r="A724" s="24" t="s">
        <v>390</v>
      </c>
      <c r="B724" s="26" t="s">
        <v>389</v>
      </c>
      <c r="C724" s="24" t="s">
        <v>391</v>
      </c>
      <c r="D724" s="24" t="s">
        <v>53</v>
      </c>
      <c r="E724" s="24" t="s">
        <v>54</v>
      </c>
      <c r="F724" s="24" t="s">
        <v>55</v>
      </c>
      <c r="H724" s="1"/>
    </row>
    <row r="725" spans="1:8" x14ac:dyDescent="0.3">
      <c r="A725" s="24">
        <v>0</v>
      </c>
      <c r="B725" s="26"/>
      <c r="C725" s="24">
        <v>0</v>
      </c>
      <c r="D725" s="41">
        <f>0.05*0.1*0.1*0.2</f>
        <v>1.0000000000000003E-4</v>
      </c>
      <c r="E725" s="24">
        <f>0.05*0.1*0.1*0.2</f>
        <v>1.0000000000000003E-4</v>
      </c>
      <c r="F725" s="24">
        <f>D725*(C725-$E$730)^2</f>
        <v>1.2602500000000003E-3</v>
      </c>
    </row>
    <row r="726" spans="1:8" x14ac:dyDescent="0.3">
      <c r="A726" s="24">
        <v>1</v>
      </c>
      <c r="B726" s="24">
        <v>0.95</v>
      </c>
      <c r="C726" s="24">
        <v>1</v>
      </c>
      <c r="D726" s="41">
        <f>0.95*0.1*0.1*0.2+0.05*0.9*0.1*0.2+0.05*0.1*0.9*0.2+0.05*0.1*0.1*0.8</f>
        <v>4.1000000000000003E-3</v>
      </c>
      <c r="E726" s="24">
        <f>B726*1</f>
        <v>0.95</v>
      </c>
      <c r="F726" s="24">
        <f>D726*(C726-$E$730)^2</f>
        <v>2.666025E-2</v>
      </c>
    </row>
    <row r="727" spans="1:8" x14ac:dyDescent="0.3">
      <c r="A727" s="24">
        <v>2</v>
      </c>
      <c r="B727" s="24">
        <v>0.9</v>
      </c>
      <c r="C727" s="24">
        <v>2</v>
      </c>
      <c r="D727" s="41">
        <f>0.95*0.9*0.1*0.2+0.05*0.9*0.9*0.2+0.05*0.1*0.9*0.8+0.95*0.1*0.9*0.2+0.95*0.1*0.1*0.8+0.05*0.9*0.1*0.8</f>
        <v>5.7100000000000005E-2</v>
      </c>
      <c r="E727" s="24">
        <f>B727*1</f>
        <v>0.9</v>
      </c>
      <c r="F727" s="24">
        <f>D727*(C727-$E$730)^2</f>
        <v>0.13718274999999999</v>
      </c>
    </row>
    <row r="728" spans="1:8" x14ac:dyDescent="0.3">
      <c r="A728" s="24">
        <v>3</v>
      </c>
      <c r="B728" s="24">
        <v>0.9</v>
      </c>
      <c r="C728" s="24">
        <v>3</v>
      </c>
      <c r="D728" s="41">
        <f>B726*B727*B728*0.2+B726*B727*0.1*B729+B726*0.1*0.9*0.8+0.05*B727*B728*B729</f>
        <v>0.3231</v>
      </c>
      <c r="E728" s="24">
        <f>B728*1</f>
        <v>0.9</v>
      </c>
      <c r="F728" s="24">
        <f>D728*(C728-$E$730)^2</f>
        <v>9.7737749999999943E-2</v>
      </c>
    </row>
    <row r="729" spans="1:8" x14ac:dyDescent="0.3">
      <c r="A729" s="24">
        <v>4</v>
      </c>
      <c r="B729" s="24">
        <v>0.8</v>
      </c>
      <c r="C729" s="24">
        <v>4</v>
      </c>
      <c r="D729" s="41">
        <f>B726*B727*B728*B729</f>
        <v>0.61560000000000004</v>
      </c>
      <c r="E729" s="24">
        <f>B729*1</f>
        <v>0.8</v>
      </c>
      <c r="F729" s="24">
        <f>D729*(C729-$E$730)^2</f>
        <v>0.1246590000000001</v>
      </c>
    </row>
    <row r="730" spans="1:8" x14ac:dyDescent="0.3">
      <c r="A730" s="24" t="s">
        <v>98</v>
      </c>
      <c r="D730" s="41">
        <f>SUM(D725:D729)</f>
        <v>1</v>
      </c>
      <c r="E730" s="41">
        <f>SUM(E726:E729)</f>
        <v>3.55</v>
      </c>
      <c r="F730" s="24">
        <f>SUM(F726:F729)</f>
        <v>0.38623974999999999</v>
      </c>
    </row>
    <row r="731" spans="1:8" ht="31.2" x14ac:dyDescent="0.3">
      <c r="A731" s="24" t="s">
        <v>4</v>
      </c>
      <c r="F731" s="41">
        <f>SQRT(F730)</f>
        <v>0.62148189836872969</v>
      </c>
    </row>
    <row r="738" spans="1:8" ht="16.2" thickBot="1" x14ac:dyDescent="0.35"/>
    <row r="739" spans="1:8" ht="16.2" thickBot="1" x14ac:dyDescent="0.35">
      <c r="A739" s="245" t="s">
        <v>392</v>
      </c>
      <c r="B739" s="246"/>
      <c r="C739" s="246"/>
      <c r="D739" s="246"/>
      <c r="E739" s="246"/>
      <c r="F739" s="246"/>
      <c r="G739" s="246"/>
      <c r="H739" s="247"/>
    </row>
    <row r="740" spans="1:8" ht="31.2" x14ac:dyDescent="0.3">
      <c r="A740" s="46" t="s">
        <v>393</v>
      </c>
      <c r="B740" s="250" t="s">
        <v>394</v>
      </c>
      <c r="C740" s="250"/>
      <c r="D740" s="250"/>
      <c r="E740" s="250"/>
      <c r="F740" s="46"/>
    </row>
    <row r="741" spans="1:8" x14ac:dyDescent="0.3">
      <c r="A741" s="42"/>
      <c r="B741" s="42">
        <v>1</v>
      </c>
      <c r="C741" s="42">
        <v>2</v>
      </c>
      <c r="D741" s="42">
        <v>3</v>
      </c>
      <c r="E741" s="42">
        <v>4</v>
      </c>
      <c r="F741" s="44" t="s">
        <v>98</v>
      </c>
    </row>
    <row r="742" spans="1:8" x14ac:dyDescent="0.3">
      <c r="A742" s="42">
        <v>0</v>
      </c>
      <c r="B742" s="42">
        <v>7.0000000000000007E-2</v>
      </c>
      <c r="C742" s="42">
        <v>0.05</v>
      </c>
      <c r="D742" s="42">
        <v>0.03</v>
      </c>
      <c r="E742" s="42">
        <v>0.02</v>
      </c>
      <c r="F742" s="44">
        <f>SUM(B742:E742)</f>
        <v>0.17</v>
      </c>
    </row>
    <row r="743" spans="1:8" x14ac:dyDescent="0.3">
      <c r="A743" s="42">
        <v>1</v>
      </c>
      <c r="B743" s="42">
        <v>0.13</v>
      </c>
      <c r="C743" s="42">
        <v>0.11</v>
      </c>
      <c r="D743" s="42">
        <v>0.17</v>
      </c>
      <c r="E743" s="42">
        <v>0.15</v>
      </c>
      <c r="F743" s="44">
        <f>SUM(B743:E743)</f>
        <v>0.56000000000000005</v>
      </c>
    </row>
    <row r="744" spans="1:8" x14ac:dyDescent="0.3">
      <c r="A744" s="42">
        <v>2</v>
      </c>
      <c r="B744" s="42">
        <v>0.04</v>
      </c>
      <c r="C744" s="42">
        <v>0.04</v>
      </c>
      <c r="D744" s="42">
        <v>0.09</v>
      </c>
      <c r="E744" s="42">
        <v>0.1</v>
      </c>
      <c r="F744" s="44">
        <f>SUM(B744:E744)</f>
        <v>0.27</v>
      </c>
    </row>
    <row r="745" spans="1:8" x14ac:dyDescent="0.3">
      <c r="A745" s="44" t="s">
        <v>98</v>
      </c>
      <c r="B745" s="44">
        <f>SUM(B742:B744)</f>
        <v>0.24000000000000002</v>
      </c>
      <c r="C745" s="44">
        <f>SUM(C742:C744)</f>
        <v>0.2</v>
      </c>
      <c r="D745" s="44">
        <f>SUM(D742:D744)</f>
        <v>0.29000000000000004</v>
      </c>
      <c r="E745" s="44">
        <f>SUM(E742:E744)</f>
        <v>0.27</v>
      </c>
      <c r="F745" s="44">
        <f>SUM(F742:F744)</f>
        <v>1</v>
      </c>
    </row>
    <row r="746" spans="1:8" ht="16.2" thickBot="1" x14ac:dyDescent="0.35"/>
    <row r="747" spans="1:8" ht="16.2" thickBot="1" x14ac:dyDescent="0.35">
      <c r="A747" s="59" t="s">
        <v>53</v>
      </c>
      <c r="B747" s="240" t="s">
        <v>54</v>
      </c>
      <c r="C747" s="241"/>
      <c r="D747" s="241"/>
      <c r="E747" s="241"/>
      <c r="F747" s="241"/>
      <c r="G747" s="242"/>
      <c r="H747" s="58" t="s">
        <v>55</v>
      </c>
    </row>
    <row r="748" spans="1:8" x14ac:dyDescent="0.3">
      <c r="A748" s="41">
        <f>F742/F745</f>
        <v>0.17</v>
      </c>
      <c r="B748" s="46" t="s">
        <v>297</v>
      </c>
      <c r="C748" s="46" t="s">
        <v>217</v>
      </c>
      <c r="D748" s="46"/>
      <c r="E748" s="46" t="s">
        <v>289</v>
      </c>
      <c r="F748" s="46" t="s">
        <v>217</v>
      </c>
      <c r="G748" s="46"/>
      <c r="H748" s="43">
        <f>B742*B741*A742+B743*B741*A743+B744*B741*A744+C742*C741*A742+C743*C741*A743+C744*C741*A744+D742*D741*A742+D743*D741*A743+D744*D741*A744+E742*E741*A742+E743*E741*A743+E744*E741*A744</f>
        <v>3.04</v>
      </c>
    </row>
    <row r="749" spans="1:8" x14ac:dyDescent="0.3">
      <c r="B749" s="42">
        <v>1</v>
      </c>
      <c r="C749" s="44">
        <v>0.24000000000000002</v>
      </c>
      <c r="D749" s="42">
        <f>B749*C749</f>
        <v>0.24000000000000002</v>
      </c>
      <c r="E749" s="42">
        <v>0</v>
      </c>
      <c r="F749" s="44">
        <v>0.17</v>
      </c>
      <c r="G749" s="42">
        <f>E749*F749</f>
        <v>0</v>
      </c>
      <c r="H749" s="243" t="s">
        <v>395</v>
      </c>
    </row>
    <row r="750" spans="1:8" x14ac:dyDescent="0.3">
      <c r="B750" s="42">
        <v>2</v>
      </c>
      <c r="C750" s="44">
        <v>0.2</v>
      </c>
      <c r="D750" s="42">
        <f>B750*C750</f>
        <v>0.4</v>
      </c>
      <c r="E750" s="42">
        <v>1</v>
      </c>
      <c r="F750" s="44">
        <v>0.56000000000000005</v>
      </c>
      <c r="G750" s="42">
        <f>E750*F750</f>
        <v>0.56000000000000005</v>
      </c>
      <c r="H750" s="244"/>
    </row>
    <row r="751" spans="1:8" x14ac:dyDescent="0.3">
      <c r="B751" s="42">
        <v>3</v>
      </c>
      <c r="C751" s="44">
        <v>0.29000000000000004</v>
      </c>
      <c r="D751" s="42">
        <f>B751*C751</f>
        <v>0.87000000000000011</v>
      </c>
      <c r="E751" s="42">
        <v>2</v>
      </c>
      <c r="F751" s="44">
        <v>0.27</v>
      </c>
      <c r="G751" s="42">
        <f>E751*F751</f>
        <v>0.54</v>
      </c>
      <c r="H751" s="244"/>
    </row>
    <row r="752" spans="1:8" x14ac:dyDescent="0.3">
      <c r="B752" s="42">
        <v>4</v>
      </c>
      <c r="C752" s="44">
        <v>0.27</v>
      </c>
      <c r="D752" s="42">
        <f>B752*C752</f>
        <v>1.08</v>
      </c>
      <c r="E752" s="42" t="s">
        <v>98</v>
      </c>
      <c r="F752" s="42">
        <f>SUM(F749:F751)</f>
        <v>1</v>
      </c>
      <c r="G752" s="42">
        <f>SUM(G749:G751)</f>
        <v>1.1000000000000001</v>
      </c>
      <c r="H752" s="244"/>
    </row>
    <row r="753" spans="1:8" x14ac:dyDescent="0.3">
      <c r="B753" s="42" t="s">
        <v>98</v>
      </c>
      <c r="C753" s="42">
        <f>SUM(C749:C752)</f>
        <v>1</v>
      </c>
      <c r="D753" s="42">
        <f>SUM(D749:D752)</f>
        <v>2.5900000000000003</v>
      </c>
      <c r="E753" s="42" t="s">
        <v>3</v>
      </c>
      <c r="F753" s="42"/>
      <c r="G753" s="41">
        <f>G752/F752</f>
        <v>1.1000000000000001</v>
      </c>
      <c r="H753" s="244"/>
    </row>
    <row r="754" spans="1:8" x14ac:dyDescent="0.3">
      <c r="B754" s="42" t="s">
        <v>3</v>
      </c>
      <c r="C754" s="42"/>
      <c r="D754" s="43">
        <f>D753/C753</f>
        <v>2.5900000000000003</v>
      </c>
    </row>
    <row r="755" spans="1:8" ht="16.2" thickBot="1" x14ac:dyDescent="0.35"/>
    <row r="756" spans="1:8" ht="16.2" thickBot="1" x14ac:dyDescent="0.35">
      <c r="A756" s="245" t="s">
        <v>396</v>
      </c>
      <c r="B756" s="246"/>
      <c r="C756" s="246"/>
      <c r="D756" s="246"/>
      <c r="E756" s="246"/>
      <c r="F756" s="246"/>
      <c r="G756" s="246"/>
      <c r="H756" s="247"/>
    </row>
    <row r="757" spans="1:8" ht="16.95" customHeight="1" x14ac:dyDescent="0.3">
      <c r="A757" s="248" t="s">
        <v>398</v>
      </c>
      <c r="B757" s="248"/>
      <c r="C757" s="248"/>
      <c r="D757" s="248"/>
      <c r="E757" s="248"/>
      <c r="F757" s="248"/>
      <c r="G757" s="248"/>
      <c r="H757" s="248"/>
    </row>
    <row r="758" spans="1:8" ht="31.2" x14ac:dyDescent="0.3">
      <c r="A758" s="24" t="s">
        <v>397</v>
      </c>
      <c r="B758" s="24" t="s">
        <v>217</v>
      </c>
      <c r="C758" s="24" t="s">
        <v>215</v>
      </c>
      <c r="D758" s="24" t="s">
        <v>3</v>
      </c>
      <c r="E758" s="24" t="s">
        <v>53</v>
      </c>
      <c r="F758" s="24" t="s">
        <v>54</v>
      </c>
      <c r="G758" s="24" t="s">
        <v>55</v>
      </c>
      <c r="H758" s="24" t="s">
        <v>56</v>
      </c>
    </row>
    <row r="759" spans="1:8" x14ac:dyDescent="0.3">
      <c r="A759" s="24">
        <v>0</v>
      </c>
      <c r="B759" s="24">
        <f>BINOMDIST(0,6,0.4,0)</f>
        <v>4.6655999999999989E-2</v>
      </c>
      <c r="C759" s="24">
        <f>BINOMDIST(0,6,0.4,1)</f>
        <v>4.6655999999999989E-2</v>
      </c>
      <c r="D759" s="24">
        <f>6*0.4</f>
        <v>2.4000000000000004</v>
      </c>
      <c r="E759" s="41">
        <f>1-SUM(B759:B760)</f>
        <v>0.76672000000000007</v>
      </c>
      <c r="F759" s="41">
        <f>B762</f>
        <v>0.27648</v>
      </c>
      <c r="G759" s="41">
        <f>D759</f>
        <v>2.4000000000000004</v>
      </c>
      <c r="H759" s="41">
        <f>G759*3</f>
        <v>7.2000000000000011</v>
      </c>
    </row>
    <row r="760" spans="1:8" x14ac:dyDescent="0.3">
      <c r="A760" s="24">
        <v>1</v>
      </c>
      <c r="B760" s="24">
        <f>BINOMDIST(1,6,0.4,0)</f>
        <v>0.18662399999999996</v>
      </c>
      <c r="C760" s="24">
        <f t="shared" ref="C760:C765" si="35">B760+C759</f>
        <v>0.23327999999999993</v>
      </c>
      <c r="E760" s="41">
        <f>SUM(B761:B765)</f>
        <v>0.76672000000000007</v>
      </c>
      <c r="G760" s="41">
        <f>SQRT(6*0.4*0.6)</f>
        <v>1.2000000000000002</v>
      </c>
      <c r="H760" s="41">
        <f>G760*3</f>
        <v>3.6000000000000005</v>
      </c>
    </row>
    <row r="761" spans="1:8" x14ac:dyDescent="0.3">
      <c r="A761" s="24">
        <v>2</v>
      </c>
      <c r="B761" s="24">
        <f>BINOMDIST(2,6,0.4,0)</f>
        <v>0.31103999999999998</v>
      </c>
      <c r="C761" s="24">
        <f t="shared" si="35"/>
        <v>0.54431999999999992</v>
      </c>
    </row>
    <row r="762" spans="1:8" x14ac:dyDescent="0.3">
      <c r="A762" s="24">
        <v>3</v>
      </c>
      <c r="B762" s="24">
        <f>BINOMDIST(3,6,0.4,0)</f>
        <v>0.27648</v>
      </c>
      <c r="C762" s="24">
        <f t="shared" si="35"/>
        <v>0.82079999999999997</v>
      </c>
    </row>
    <row r="763" spans="1:8" x14ac:dyDescent="0.3">
      <c r="A763" s="24">
        <v>4</v>
      </c>
      <c r="B763" s="24">
        <f>BINOMDIST(4,6,0.4,0)</f>
        <v>0.13824000000000003</v>
      </c>
      <c r="C763" s="24">
        <f t="shared" si="35"/>
        <v>0.95904</v>
      </c>
    </row>
    <row r="764" spans="1:8" x14ac:dyDescent="0.3">
      <c r="A764" s="24">
        <v>5</v>
      </c>
      <c r="B764" s="24">
        <f>BINOMDIST(5,6,0.4,0)</f>
        <v>3.6864000000000022E-2</v>
      </c>
      <c r="C764" s="24">
        <f t="shared" si="35"/>
        <v>0.99590400000000001</v>
      </c>
    </row>
    <row r="765" spans="1:8" x14ac:dyDescent="0.3">
      <c r="A765" s="24">
        <v>6</v>
      </c>
      <c r="B765" s="24">
        <f>BINOMDIST(6,6,0.4,0)</f>
        <v>4.0960000000000024E-3</v>
      </c>
      <c r="C765" s="24">
        <f t="shared" si="35"/>
        <v>1</v>
      </c>
    </row>
    <row r="766" spans="1:8" x14ac:dyDescent="0.3">
      <c r="A766" s="24" t="s">
        <v>98</v>
      </c>
      <c r="B766" s="24">
        <f>SUM(B759:B765)</f>
        <v>1</v>
      </c>
    </row>
    <row r="767" spans="1:8" ht="16.2" thickBot="1" x14ac:dyDescent="0.35"/>
    <row r="768" spans="1:8" ht="16.2" thickBot="1" x14ac:dyDescent="0.35">
      <c r="A768" s="245" t="s">
        <v>399</v>
      </c>
      <c r="B768" s="246"/>
      <c r="C768" s="246"/>
      <c r="D768" s="246"/>
      <c r="E768" s="246"/>
      <c r="F768" s="246"/>
      <c r="G768" s="246"/>
      <c r="H768" s="247"/>
    </row>
    <row r="769" spans="1:8" x14ac:dyDescent="0.3">
      <c r="A769" s="24" t="s">
        <v>53</v>
      </c>
      <c r="B769" s="24" t="s">
        <v>54</v>
      </c>
      <c r="C769" s="24" t="s">
        <v>55</v>
      </c>
    </row>
    <row r="770" spans="1:8" x14ac:dyDescent="0.3">
      <c r="A770" s="35">
        <f>BINOMDIST(3,5,0.55,0)</f>
        <v>0.33690937499999996</v>
      </c>
      <c r="B770" s="35">
        <f>1-BINOMDIST(2,5,0.55,1)</f>
        <v>0.59312687500000005</v>
      </c>
      <c r="C770" s="35">
        <v>0.55000000000000004</v>
      </c>
    </row>
    <row r="771" spans="1:8" x14ac:dyDescent="0.3">
      <c r="C771" s="35">
        <f>SQRT(80*0.55*0.45)/80</f>
        <v>5.5621488653217477E-2</v>
      </c>
    </row>
    <row r="772" spans="1:8" ht="16.2" thickBot="1" x14ac:dyDescent="0.35"/>
    <row r="773" spans="1:8" ht="16.2" thickBot="1" x14ac:dyDescent="0.35">
      <c r="A773" s="245" t="s">
        <v>400</v>
      </c>
      <c r="B773" s="246"/>
      <c r="C773" s="246"/>
      <c r="D773" s="246"/>
      <c r="E773" s="246"/>
      <c r="F773" s="246"/>
      <c r="G773" s="246"/>
      <c r="H773" s="247"/>
    </row>
    <row r="774" spans="1:8" x14ac:dyDescent="0.3">
      <c r="A774" s="250" t="s">
        <v>53</v>
      </c>
      <c r="B774" s="250"/>
      <c r="C774" s="250"/>
      <c r="D774" s="250" t="s">
        <v>54</v>
      </c>
      <c r="E774" s="250"/>
      <c r="F774" s="250"/>
    </row>
    <row r="775" spans="1:8" x14ac:dyDescent="0.3">
      <c r="A775" s="24" t="s">
        <v>53</v>
      </c>
      <c r="B775" s="24" t="s">
        <v>54</v>
      </c>
      <c r="C775" s="24" t="s">
        <v>217</v>
      </c>
      <c r="D775" s="24" t="s">
        <v>53</v>
      </c>
      <c r="E775" s="24" t="s">
        <v>54</v>
      </c>
      <c r="F775" s="24" t="s">
        <v>217</v>
      </c>
    </row>
    <row r="776" spans="1:8" x14ac:dyDescent="0.3">
      <c r="A776" s="24">
        <v>4</v>
      </c>
      <c r="B776" s="24">
        <v>0</v>
      </c>
      <c r="C776" s="24">
        <f>BINOMDIST(4,4,0.6,0)</f>
        <v>0.12959999999999999</v>
      </c>
      <c r="D776" s="24">
        <v>3</v>
      </c>
      <c r="E776" s="24">
        <v>3</v>
      </c>
      <c r="F776" s="35">
        <f>BINOMDIST(3,3,0.6,0)</f>
        <v>0.21599999999999997</v>
      </c>
    </row>
    <row r="777" spans="1:8" x14ac:dyDescent="0.3">
      <c r="A777" s="24">
        <v>4</v>
      </c>
      <c r="B777" s="24">
        <v>1</v>
      </c>
      <c r="C777" s="24">
        <f>BINOMDIST(4,5,0.6,0)</f>
        <v>0.25919999999999999</v>
      </c>
    </row>
    <row r="778" spans="1:8" x14ac:dyDescent="0.3">
      <c r="A778" s="24">
        <v>4</v>
      </c>
      <c r="B778" s="24">
        <v>2</v>
      </c>
      <c r="C778" s="24">
        <f>BINOMDIST(4,6,0.6,0)</f>
        <v>0.31103999999999998</v>
      </c>
    </row>
    <row r="779" spans="1:8" x14ac:dyDescent="0.3">
      <c r="A779" s="24">
        <v>4</v>
      </c>
      <c r="B779" s="24">
        <v>3</v>
      </c>
      <c r="C779" s="24">
        <f>BINOMDIST(4,7,0.6,0)</f>
        <v>0.29030400000000001</v>
      </c>
    </row>
    <row r="780" spans="1:8" x14ac:dyDescent="0.3">
      <c r="C780" s="35">
        <f>SUM(C776:C779)</f>
        <v>0.99014400000000002</v>
      </c>
    </row>
    <row r="782" spans="1:8" x14ac:dyDescent="0.3">
      <c r="A782" s="260" t="s">
        <v>55</v>
      </c>
      <c r="B782" s="260"/>
      <c r="C782" s="260"/>
      <c r="D782" s="260" t="s">
        <v>56</v>
      </c>
      <c r="E782" s="260"/>
      <c r="F782" s="260"/>
    </row>
    <row r="783" spans="1:8" x14ac:dyDescent="0.3">
      <c r="A783" s="24" t="s">
        <v>53</v>
      </c>
      <c r="B783" s="24" t="s">
        <v>54</v>
      </c>
      <c r="C783" s="24" t="s">
        <v>217</v>
      </c>
      <c r="D783" s="24" t="s">
        <v>53</v>
      </c>
      <c r="E783" s="24" t="s">
        <v>54</v>
      </c>
      <c r="F783" s="24" t="s">
        <v>217</v>
      </c>
    </row>
    <row r="784" spans="1:8" x14ac:dyDescent="0.3">
      <c r="A784" s="24">
        <v>2</v>
      </c>
      <c r="B784" s="24">
        <v>2</v>
      </c>
      <c r="C784" s="35">
        <f>BINOMDIST(2,4,0.6,0)</f>
        <v>0.34560000000000002</v>
      </c>
      <c r="D784" s="24">
        <v>4</v>
      </c>
      <c r="E784" s="24">
        <v>2</v>
      </c>
      <c r="F784" s="24">
        <f>0.6*0.6</f>
        <v>0.36</v>
      </c>
    </row>
    <row r="785" spans="1:8" x14ac:dyDescent="0.3">
      <c r="D785" s="24">
        <v>4</v>
      </c>
      <c r="E785" s="24">
        <v>3</v>
      </c>
      <c r="F785" s="24">
        <f>0.6*0.6*0.4+0.6*0.4*0.6+0.4*0.6*0.6</f>
        <v>0.43199999999999994</v>
      </c>
    </row>
    <row r="786" spans="1:8" x14ac:dyDescent="0.3">
      <c r="F786" s="35">
        <f>SUM(F784:F785)</f>
        <v>0.79199999999999993</v>
      </c>
    </row>
    <row r="787" spans="1:8" x14ac:dyDescent="0.3">
      <c r="A787" s="260" t="s">
        <v>138</v>
      </c>
      <c r="B787" s="260"/>
      <c r="C787" s="260"/>
    </row>
    <row r="788" spans="1:8" x14ac:dyDescent="0.3">
      <c r="A788" s="24" t="s">
        <v>53</v>
      </c>
      <c r="B788" s="24" t="s">
        <v>54</v>
      </c>
      <c r="C788" s="24" t="s">
        <v>217</v>
      </c>
    </row>
    <row r="789" spans="1:8" x14ac:dyDescent="0.3">
      <c r="A789" s="24">
        <v>3</v>
      </c>
      <c r="B789" s="24">
        <v>2</v>
      </c>
      <c r="C789" s="256">
        <f>0.6*0.4</f>
        <v>0.24</v>
      </c>
    </row>
    <row r="790" spans="1:8" x14ac:dyDescent="0.3">
      <c r="A790" s="24">
        <v>3</v>
      </c>
      <c r="B790" s="24">
        <v>3</v>
      </c>
      <c r="C790" s="256"/>
    </row>
    <row r="791" spans="1:8" x14ac:dyDescent="0.3">
      <c r="A791" s="24">
        <v>2</v>
      </c>
      <c r="B791" s="24">
        <v>3</v>
      </c>
      <c r="C791" s="256">
        <f>0.4*0.6</f>
        <v>0.24</v>
      </c>
    </row>
    <row r="792" spans="1:8" x14ac:dyDescent="0.3">
      <c r="A792" s="24">
        <v>3</v>
      </c>
      <c r="B792" s="24">
        <v>3</v>
      </c>
      <c r="C792" s="256"/>
    </row>
    <row r="793" spans="1:8" x14ac:dyDescent="0.3">
      <c r="C793" s="35">
        <f>SUM(C789:C792)</f>
        <v>0.48</v>
      </c>
    </row>
    <row r="794" spans="1:8" ht="16.2" thickBot="1" x14ac:dyDescent="0.35"/>
    <row r="795" spans="1:8" ht="16.2" thickBot="1" x14ac:dyDescent="0.35">
      <c r="A795" s="245" t="s">
        <v>401</v>
      </c>
      <c r="B795" s="246"/>
      <c r="C795" s="246"/>
      <c r="D795" s="246"/>
      <c r="E795" s="246"/>
      <c r="F795" s="246"/>
      <c r="G795" s="246"/>
      <c r="H795" s="247"/>
    </row>
    <row r="796" spans="1:8" x14ac:dyDescent="0.3">
      <c r="A796" s="35">
        <f>HYPGEOMDIST(3,5,5,15)</f>
        <v>0.14985014985014988</v>
      </c>
    </row>
    <row r="797" spans="1:8" x14ac:dyDescent="0.3">
      <c r="A797" s="35">
        <f>COMBIN(5,3)*COMBIN(10,2)/COMBIN(15,5)</f>
        <v>0.14985014985014986</v>
      </c>
    </row>
    <row r="798" spans="1:8" ht="16.2" thickBot="1" x14ac:dyDescent="0.35"/>
    <row r="799" spans="1:8" ht="16.2" thickBot="1" x14ac:dyDescent="0.35">
      <c r="A799" s="245" t="s">
        <v>402</v>
      </c>
      <c r="B799" s="246"/>
      <c r="C799" s="246"/>
      <c r="D799" s="246"/>
      <c r="E799" s="246"/>
      <c r="F799" s="246"/>
      <c r="G799" s="246"/>
      <c r="H799" s="247"/>
    </row>
    <row r="800" spans="1:8" x14ac:dyDescent="0.3">
      <c r="A800" s="24" t="s">
        <v>404</v>
      </c>
      <c r="B800" s="24">
        <f>HYPGEOMDIST(2,4,4,20)</f>
        <v>0.14860681114551086</v>
      </c>
    </row>
    <row r="801" spans="1:8" x14ac:dyDescent="0.3">
      <c r="A801" s="24" t="s">
        <v>405</v>
      </c>
      <c r="B801" s="24">
        <f>HYPGEOMDIST(3,4,4,20)</f>
        <v>1.3209494324045411E-2</v>
      </c>
    </row>
    <row r="802" spans="1:8" x14ac:dyDescent="0.3">
      <c r="A802" s="24" t="s">
        <v>406</v>
      </c>
      <c r="B802" s="24">
        <f>HYPGEOMDIST(4,4,4,20)</f>
        <v>2.0639834881320952E-4</v>
      </c>
    </row>
    <row r="803" spans="1:8" ht="31.2" x14ac:dyDescent="0.3">
      <c r="A803" s="24" t="s">
        <v>407</v>
      </c>
      <c r="B803" s="35">
        <f>SUM(B800:B802)</f>
        <v>0.16202270381836947</v>
      </c>
    </row>
    <row r="804" spans="1:8" ht="16.2" thickBot="1" x14ac:dyDescent="0.35"/>
    <row r="805" spans="1:8" ht="16.2" thickBot="1" x14ac:dyDescent="0.35">
      <c r="A805" s="245" t="s">
        <v>403</v>
      </c>
      <c r="B805" s="246"/>
      <c r="C805" s="246"/>
      <c r="D805" s="246"/>
      <c r="E805" s="246"/>
      <c r="F805" s="246"/>
      <c r="G805" s="246"/>
      <c r="H805" s="247"/>
    </row>
    <row r="806" spans="1:8" x14ac:dyDescent="0.3">
      <c r="B806" s="248" t="s">
        <v>53</v>
      </c>
      <c r="C806" s="248"/>
      <c r="D806" s="24" t="s">
        <v>408</v>
      </c>
      <c r="E806" s="39" t="s">
        <v>345</v>
      </c>
      <c r="F806" s="24">
        <v>2.7182818284589998</v>
      </c>
    </row>
    <row r="807" spans="1:8" x14ac:dyDescent="0.3">
      <c r="D807" s="55">
        <f>POISSON(2,F807,1)</f>
        <v>0.56970874665751048</v>
      </c>
      <c r="E807" s="54" t="s">
        <v>351</v>
      </c>
      <c r="F807" s="24">
        <v>2.4</v>
      </c>
    </row>
    <row r="808" spans="1:8" x14ac:dyDescent="0.3">
      <c r="A808" s="24" t="s">
        <v>346</v>
      </c>
      <c r="B808" s="35">
        <f t="shared" ref="B808:B813" si="36">$F$806^-$F$807*$F$807^F808/FACT(F808)</f>
        <v>9.0717953289416176E-2</v>
      </c>
      <c r="C808" s="35">
        <f t="shared" ref="C808:C813" si="37">POISSON(F808,$F$807,0)</f>
        <v>9.0717953289412512E-2</v>
      </c>
      <c r="D808" s="55">
        <f>SUM(B808:B810)</f>
        <v>0.56970874665753357</v>
      </c>
      <c r="E808" s="24" t="s">
        <v>350</v>
      </c>
      <c r="F808" s="24">
        <v>0</v>
      </c>
    </row>
    <row r="809" spans="1:8" x14ac:dyDescent="0.3">
      <c r="A809" s="24" t="s">
        <v>347</v>
      </c>
      <c r="B809" s="24">
        <f t="shared" si="36"/>
        <v>0.21772308789459882</v>
      </c>
      <c r="C809" s="24">
        <f t="shared" si="37"/>
        <v>0.21772308789459002</v>
      </c>
      <c r="E809" s="24" t="s">
        <v>350</v>
      </c>
      <c r="F809" s="24">
        <v>1</v>
      </c>
    </row>
    <row r="810" spans="1:8" x14ac:dyDescent="0.3">
      <c r="A810" s="24" t="s">
        <v>348</v>
      </c>
      <c r="B810" s="24">
        <f t="shared" si="36"/>
        <v>0.26126770547351857</v>
      </c>
      <c r="C810" s="24">
        <f t="shared" si="37"/>
        <v>0.26126770547350808</v>
      </c>
      <c r="E810" s="24" t="s">
        <v>350</v>
      </c>
      <c r="F810" s="24">
        <v>2</v>
      </c>
    </row>
    <row r="811" spans="1:8" x14ac:dyDescent="0.3">
      <c r="A811" s="24" t="s">
        <v>353</v>
      </c>
      <c r="B811" s="24">
        <f t="shared" si="36"/>
        <v>0.20901416437881484</v>
      </c>
      <c r="C811" s="24">
        <f t="shared" si="37"/>
        <v>0.20901416437880643</v>
      </c>
      <c r="E811" s="24" t="s">
        <v>350</v>
      </c>
      <c r="F811" s="24">
        <v>3</v>
      </c>
    </row>
    <row r="812" spans="1:8" x14ac:dyDescent="0.3">
      <c r="A812" s="24" t="s">
        <v>354</v>
      </c>
      <c r="B812" s="24">
        <f t="shared" si="36"/>
        <v>0.12540849862728892</v>
      </c>
      <c r="C812" s="24">
        <f t="shared" si="37"/>
        <v>0.12540849862728387</v>
      </c>
      <c r="E812" s="24" t="s">
        <v>350</v>
      </c>
      <c r="F812" s="24">
        <v>4</v>
      </c>
    </row>
    <row r="813" spans="1:8" x14ac:dyDescent="0.3">
      <c r="A813" s="24" t="s">
        <v>355</v>
      </c>
      <c r="B813" s="24">
        <f t="shared" si="36"/>
        <v>6.0196079341098684E-2</v>
      </c>
      <c r="C813" s="24">
        <f t="shared" si="37"/>
        <v>6.019607934109622E-2</v>
      </c>
      <c r="E813" s="24" t="s">
        <v>350</v>
      </c>
      <c r="F813" s="24">
        <v>5</v>
      </c>
    </row>
    <row r="815" spans="1:8" ht="16.2" thickBot="1" x14ac:dyDescent="0.35"/>
    <row r="816" spans="1:8" ht="16.2" thickBot="1" x14ac:dyDescent="0.35">
      <c r="A816" s="245" t="s">
        <v>409</v>
      </c>
      <c r="B816" s="246"/>
      <c r="C816" s="246"/>
      <c r="D816" s="246"/>
      <c r="E816" s="246"/>
      <c r="F816" s="246"/>
      <c r="G816" s="246"/>
      <c r="H816" s="247"/>
    </row>
    <row r="817" spans="1:8" x14ac:dyDescent="0.3">
      <c r="B817" s="248"/>
      <c r="C817" s="248"/>
      <c r="E817" s="39" t="s">
        <v>345</v>
      </c>
      <c r="F817" s="24">
        <v>2.7182818284589998</v>
      </c>
    </row>
    <row r="818" spans="1:8" x14ac:dyDescent="0.3">
      <c r="D818" s="55">
        <f>1-POISSON(1,F818,1)</f>
        <v>0.9887242060526682</v>
      </c>
      <c r="E818" s="54" t="s">
        <v>351</v>
      </c>
      <c r="F818" s="24">
        <v>6.5</v>
      </c>
      <c r="G818" s="24" t="s">
        <v>318</v>
      </c>
    </row>
    <row r="819" spans="1:8" x14ac:dyDescent="0.3">
      <c r="A819" s="24" t="s">
        <v>346</v>
      </c>
      <c r="B819" s="24">
        <f t="shared" ref="B819:B824" si="38">$F$817^-$F$818*$F$818^F819/FACT(F819)</f>
        <v>1.5034391929777367E-3</v>
      </c>
      <c r="C819" s="24">
        <f t="shared" ref="C819:C824" si="39">POISSON(F819,$F$818,0)</f>
        <v>1.5034391929775724E-3</v>
      </c>
      <c r="D819" s="41">
        <f>1-SUM(B819:B820)</f>
        <v>0.98872420605266698</v>
      </c>
      <c r="E819" s="24" t="s">
        <v>350</v>
      </c>
      <c r="F819" s="24">
        <v>0</v>
      </c>
    </row>
    <row r="820" spans="1:8" x14ac:dyDescent="0.3">
      <c r="A820" s="24" t="s">
        <v>347</v>
      </c>
      <c r="B820" s="24">
        <f t="shared" si="38"/>
        <v>9.7723547543552888E-3</v>
      </c>
      <c r="C820" s="24">
        <f t="shared" si="39"/>
        <v>9.7723547543542202E-3</v>
      </c>
      <c r="E820" s="24" t="s">
        <v>350</v>
      </c>
      <c r="F820" s="24">
        <v>1</v>
      </c>
    </row>
    <row r="821" spans="1:8" x14ac:dyDescent="0.3">
      <c r="A821" s="24" t="s">
        <v>348</v>
      </c>
      <c r="B821" s="24">
        <f t="shared" si="38"/>
        <v>3.1760152951654685E-2</v>
      </c>
      <c r="C821" s="24">
        <f t="shared" si="39"/>
        <v>3.1760152951651223E-2</v>
      </c>
      <c r="E821" s="24" t="s">
        <v>350</v>
      </c>
      <c r="F821" s="24">
        <v>2</v>
      </c>
    </row>
    <row r="822" spans="1:8" x14ac:dyDescent="0.3">
      <c r="A822" s="24" t="s">
        <v>353</v>
      </c>
      <c r="B822" s="24">
        <f t="shared" si="38"/>
        <v>6.8813664728585161E-2</v>
      </c>
      <c r="C822" s="24">
        <f t="shared" si="39"/>
        <v>6.8813664728577625E-2</v>
      </c>
      <c r="E822" s="24" t="s">
        <v>350</v>
      </c>
      <c r="F822" s="24">
        <v>3</v>
      </c>
    </row>
    <row r="823" spans="1:8" x14ac:dyDescent="0.3">
      <c r="A823" s="24" t="s">
        <v>354</v>
      </c>
      <c r="B823" s="24">
        <f t="shared" si="38"/>
        <v>0.11182220518395088</v>
      </c>
      <c r="C823" s="24">
        <f t="shared" si="39"/>
        <v>0.11182220518393866</v>
      </c>
      <c r="E823" s="24" t="s">
        <v>350</v>
      </c>
      <c r="F823" s="24">
        <v>4</v>
      </c>
    </row>
    <row r="824" spans="1:8" x14ac:dyDescent="0.3">
      <c r="A824" s="24" t="s">
        <v>355</v>
      </c>
      <c r="B824" s="24">
        <f t="shared" si="38"/>
        <v>0.14536886673913613</v>
      </c>
      <c r="C824" s="24">
        <f t="shared" si="39"/>
        <v>0.14536886673912028</v>
      </c>
      <c r="E824" s="24" t="s">
        <v>350</v>
      </c>
      <c r="F824" s="24">
        <v>5</v>
      </c>
    </row>
    <row r="825" spans="1:8" ht="16.2" thickBot="1" x14ac:dyDescent="0.35"/>
    <row r="826" spans="1:8" ht="16.2" thickBot="1" x14ac:dyDescent="0.35">
      <c r="A826" s="245" t="s">
        <v>410</v>
      </c>
      <c r="B826" s="246"/>
      <c r="C826" s="246"/>
      <c r="D826" s="246"/>
      <c r="E826" s="246"/>
      <c r="F826" s="246"/>
      <c r="G826" s="246"/>
      <c r="H826" s="247"/>
    </row>
  </sheetData>
  <mergeCells count="185">
    <mergeCell ref="C789:C790"/>
    <mergeCell ref="C791:C792"/>
    <mergeCell ref="A787:C787"/>
    <mergeCell ref="A799:H799"/>
    <mergeCell ref="A805:H805"/>
    <mergeCell ref="B806:C806"/>
    <mergeCell ref="A816:H816"/>
    <mergeCell ref="B817:C817"/>
    <mergeCell ref="A826:H826"/>
    <mergeCell ref="A773:H773"/>
    <mergeCell ref="A774:C774"/>
    <mergeCell ref="D774:F774"/>
    <mergeCell ref="A782:C782"/>
    <mergeCell ref="A795:H795"/>
    <mergeCell ref="D782:F782"/>
    <mergeCell ref="E701:F701"/>
    <mergeCell ref="A713:H713"/>
    <mergeCell ref="B671:H671"/>
    <mergeCell ref="B681:H681"/>
    <mergeCell ref="B682:H682"/>
    <mergeCell ref="A684:H684"/>
    <mergeCell ref="A700:H700"/>
    <mergeCell ref="A676:C676"/>
    <mergeCell ref="D676:E676"/>
    <mergeCell ref="F676:H676"/>
    <mergeCell ref="A675:C675"/>
    <mergeCell ref="D675:E675"/>
    <mergeCell ref="F675:H675"/>
    <mergeCell ref="A678:H678"/>
    <mergeCell ref="B679:H679"/>
    <mergeCell ref="B680:H680"/>
    <mergeCell ref="A739:H739"/>
    <mergeCell ref="B740:E740"/>
    <mergeCell ref="A545:H545"/>
    <mergeCell ref="A549:H549"/>
    <mergeCell ref="A554:H554"/>
    <mergeCell ref="A557:H557"/>
    <mergeCell ref="A336:A337"/>
    <mergeCell ref="A338:A340"/>
    <mergeCell ref="D336:D337"/>
    <mergeCell ref="D338:D340"/>
    <mergeCell ref="A343:H346"/>
    <mergeCell ref="A411:H411"/>
    <mergeCell ref="A416:H416"/>
    <mergeCell ref="A421:H421"/>
    <mergeCell ref="A426:H426"/>
    <mergeCell ref="A348:H348"/>
    <mergeCell ref="B349:E349"/>
    <mergeCell ref="A365:B365"/>
    <mergeCell ref="C366:D366"/>
    <mergeCell ref="C365:D365"/>
    <mergeCell ref="E365:G365"/>
    <mergeCell ref="A430:H430"/>
    <mergeCell ref="A435:H435"/>
    <mergeCell ref="A440:H440"/>
    <mergeCell ref="A532:H532"/>
    <mergeCell ref="A523:H523"/>
    <mergeCell ref="H302:H307"/>
    <mergeCell ref="H308:H313"/>
    <mergeCell ref="A321:H321"/>
    <mergeCell ref="A322:D322"/>
    <mergeCell ref="E322:F322"/>
    <mergeCell ref="A334:H334"/>
    <mergeCell ref="H314:H319"/>
    <mergeCell ref="A520:D520"/>
    <mergeCell ref="C357:G357"/>
    <mergeCell ref="D358:G358"/>
    <mergeCell ref="A449:H449"/>
    <mergeCell ref="B450:G450"/>
    <mergeCell ref="A462:H462"/>
    <mergeCell ref="A387:H387"/>
    <mergeCell ref="B388:D388"/>
    <mergeCell ref="B396:C396"/>
    <mergeCell ref="A395:D395"/>
    <mergeCell ref="E395:H395"/>
    <mergeCell ref="G396:H401"/>
    <mergeCell ref="E370:G375"/>
    <mergeCell ref="A372:C385"/>
    <mergeCell ref="A202:H202"/>
    <mergeCell ref="A203:D203"/>
    <mergeCell ref="E203:G203"/>
    <mergeCell ref="A221:A228"/>
    <mergeCell ref="A230:A237"/>
    <mergeCell ref="B239:H239"/>
    <mergeCell ref="H284:H289"/>
    <mergeCell ref="H290:H295"/>
    <mergeCell ref="H296:H301"/>
    <mergeCell ref="A274:H274"/>
    <mergeCell ref="A249:H249"/>
    <mergeCell ref="A262:H262"/>
    <mergeCell ref="A97:H97"/>
    <mergeCell ref="F99:H100"/>
    <mergeCell ref="A117:H117"/>
    <mergeCell ref="E104:F104"/>
    <mergeCell ref="E103:F103"/>
    <mergeCell ref="G103:H103"/>
    <mergeCell ref="G104:H104"/>
    <mergeCell ref="A158:H158"/>
    <mergeCell ref="A159:C159"/>
    <mergeCell ref="D159:E159"/>
    <mergeCell ref="D160:E160"/>
    <mergeCell ref="A163:C163"/>
    <mergeCell ref="D163:E163"/>
    <mergeCell ref="A164:C164"/>
    <mergeCell ref="D164:E164"/>
    <mergeCell ref="A161:C161"/>
    <mergeCell ref="D161:E161"/>
    <mergeCell ref="A162:C162"/>
    <mergeCell ref="D162:E162"/>
    <mergeCell ref="F5:H5"/>
    <mergeCell ref="F6:H6"/>
    <mergeCell ref="A20:H20"/>
    <mergeCell ref="A9:D9"/>
    <mergeCell ref="E9:H9"/>
    <mergeCell ref="D5:E5"/>
    <mergeCell ref="D6:E6"/>
    <mergeCell ref="D7:E7"/>
    <mergeCell ref="F7:H7"/>
    <mergeCell ref="A5:C5"/>
    <mergeCell ref="A6:C6"/>
    <mergeCell ref="A7:C7"/>
    <mergeCell ref="A1:H1"/>
    <mergeCell ref="A2:C2"/>
    <mergeCell ref="D2:E2"/>
    <mergeCell ref="A3:C3"/>
    <mergeCell ref="A4:C4"/>
    <mergeCell ref="D3:E3"/>
    <mergeCell ref="F2:H2"/>
    <mergeCell ref="F3:H3"/>
    <mergeCell ref="F4:H4"/>
    <mergeCell ref="D4:E4"/>
    <mergeCell ref="A174:H174"/>
    <mergeCell ref="A187:H187"/>
    <mergeCell ref="A220:H220"/>
    <mergeCell ref="A241:H241"/>
    <mergeCell ref="A242:C242"/>
    <mergeCell ref="D242:F242"/>
    <mergeCell ref="E188:H188"/>
    <mergeCell ref="A188:D188"/>
    <mergeCell ref="A28:B28"/>
    <mergeCell ref="C28:F28"/>
    <mergeCell ref="A39:H39"/>
    <mergeCell ref="A49:B49"/>
    <mergeCell ref="C49:E49"/>
    <mergeCell ref="A61:H61"/>
    <mergeCell ref="A72:B72"/>
    <mergeCell ref="C72:E72"/>
    <mergeCell ref="A84:H84"/>
    <mergeCell ref="A93:H95"/>
    <mergeCell ref="D165:E165"/>
    <mergeCell ref="A170:A172"/>
    <mergeCell ref="B170:H172"/>
    <mergeCell ref="E90:F90"/>
    <mergeCell ref="G90:H90"/>
    <mergeCell ref="A160:C160"/>
    <mergeCell ref="A634:H634"/>
    <mergeCell ref="A644:H644"/>
    <mergeCell ref="A654:H654"/>
    <mergeCell ref="A664:H664"/>
    <mergeCell ref="A665:H668"/>
    <mergeCell ref="A670:H670"/>
    <mergeCell ref="B672:H672"/>
    <mergeCell ref="A674:H674"/>
    <mergeCell ref="A565:H565"/>
    <mergeCell ref="A571:H571"/>
    <mergeCell ref="A576:H576"/>
    <mergeCell ref="A581:H581"/>
    <mergeCell ref="A586:H586"/>
    <mergeCell ref="A593:H593"/>
    <mergeCell ref="A604:H604"/>
    <mergeCell ref="A614:H614"/>
    <mergeCell ref="A624:H624"/>
    <mergeCell ref="B747:G747"/>
    <mergeCell ref="H749:H753"/>
    <mergeCell ref="A756:H756"/>
    <mergeCell ref="A757:H757"/>
    <mergeCell ref="A768:H768"/>
    <mergeCell ref="A719:H719"/>
    <mergeCell ref="C721:E721"/>
    <mergeCell ref="F721:H721"/>
    <mergeCell ref="A721:B721"/>
    <mergeCell ref="A720:B720"/>
    <mergeCell ref="C720:E720"/>
    <mergeCell ref="F720:H720"/>
    <mergeCell ref="A723:H723"/>
  </mergeCells>
  <pageMargins left="0.7" right="0.7" top="0.75" bottom="0.75" header="0.3" footer="0.3"/>
  <pageSetup paperSize="0" orientation="portrait" horizontalDpi="0" verticalDpi="0" copies="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624"/>
  <sheetViews>
    <sheetView topLeftCell="A588" workbookViewId="0">
      <selection activeCell="A599" sqref="A599:B599"/>
    </sheetView>
  </sheetViews>
  <sheetFormatPr defaultColWidth="8.88671875" defaultRowHeight="15.6" x14ac:dyDescent="0.3"/>
  <cols>
    <col min="1" max="1" width="15.33203125" style="24" customWidth="1"/>
    <col min="2" max="2" width="17.5546875" style="24" customWidth="1"/>
    <col min="3" max="3" width="14.6640625" style="24" customWidth="1"/>
    <col min="4" max="4" width="17" style="24" bestFit="1" customWidth="1"/>
    <col min="5" max="5" width="16.6640625" style="24" bestFit="1" customWidth="1"/>
    <col min="6" max="6" width="13.6640625" style="24" bestFit="1" customWidth="1"/>
    <col min="7" max="7" width="11.44140625" style="24" customWidth="1"/>
    <col min="8" max="8" width="13.5546875" style="24" bestFit="1" customWidth="1"/>
    <col min="9" max="9" width="14.5546875" style="24" bestFit="1" customWidth="1"/>
    <col min="10" max="11" width="13.6640625" style="24" bestFit="1" customWidth="1"/>
    <col min="12" max="12" width="13.5546875" style="24" bestFit="1" customWidth="1"/>
    <col min="13" max="14" width="11.33203125" style="24" bestFit="1" customWidth="1"/>
    <col min="15" max="16384" width="8.88671875" style="24"/>
  </cols>
  <sheetData>
    <row r="1" spans="1:8" ht="16.2" thickBot="1" x14ac:dyDescent="0.35">
      <c r="A1" s="278" t="s">
        <v>0</v>
      </c>
      <c r="B1" s="279"/>
      <c r="C1" s="279"/>
      <c r="D1" s="279"/>
      <c r="E1" s="279"/>
      <c r="F1" s="279"/>
      <c r="G1" s="279"/>
      <c r="H1" s="280"/>
    </row>
    <row r="2" spans="1:8" x14ac:dyDescent="0.3">
      <c r="A2" s="24" t="s">
        <v>3</v>
      </c>
      <c r="B2" s="24">
        <v>92</v>
      </c>
    </row>
    <row r="3" spans="1:8" ht="31.2" x14ac:dyDescent="0.3">
      <c r="A3" s="24" t="s">
        <v>411</v>
      </c>
      <c r="B3" s="24">
        <v>3.6</v>
      </c>
    </row>
    <row r="4" spans="1:8" ht="31.2" x14ac:dyDescent="0.3">
      <c r="A4" s="24" t="s">
        <v>412</v>
      </c>
      <c r="B4" s="24">
        <v>4</v>
      </c>
    </row>
    <row r="5" spans="1:8" x14ac:dyDescent="0.3">
      <c r="A5" s="24" t="s">
        <v>53</v>
      </c>
      <c r="B5" s="24" t="s">
        <v>54</v>
      </c>
      <c r="C5" s="24" t="s">
        <v>55</v>
      </c>
      <c r="D5" s="24" t="s">
        <v>56</v>
      </c>
    </row>
    <row r="6" spans="1:8" x14ac:dyDescent="0.3">
      <c r="A6" s="62">
        <f>B2</f>
        <v>92</v>
      </c>
      <c r="B6" s="62">
        <f>C6^2</f>
        <v>3.24</v>
      </c>
      <c r="C6" s="62">
        <f>B3/SQRT(B4)</f>
        <v>1.8</v>
      </c>
      <c r="D6" s="24">
        <f>(93-B2)/C6</f>
        <v>0.55555555555555558</v>
      </c>
    </row>
    <row r="7" spans="1:8" x14ac:dyDescent="0.3">
      <c r="D7" s="63">
        <v>0.29120000000000001</v>
      </c>
    </row>
    <row r="8" spans="1:8" ht="16.2" thickBot="1" x14ac:dyDescent="0.35"/>
    <row r="9" spans="1:8" ht="16.2" thickBot="1" x14ac:dyDescent="0.35">
      <c r="A9" s="278" t="s">
        <v>7</v>
      </c>
      <c r="B9" s="279"/>
      <c r="C9" s="279"/>
      <c r="D9" s="279"/>
      <c r="E9" s="279"/>
      <c r="F9" s="279"/>
      <c r="G9" s="279"/>
      <c r="H9" s="280"/>
    </row>
    <row r="10" spans="1:8" x14ac:dyDescent="0.3">
      <c r="A10" s="24" t="s">
        <v>3</v>
      </c>
      <c r="B10" s="24">
        <v>1200</v>
      </c>
    </row>
    <row r="11" spans="1:8" ht="31.2" x14ac:dyDescent="0.3">
      <c r="A11" s="24" t="s">
        <v>411</v>
      </c>
      <c r="B11" s="24">
        <v>400</v>
      </c>
    </row>
    <row r="12" spans="1:8" ht="31.2" x14ac:dyDescent="0.3">
      <c r="A12" s="24" t="s">
        <v>412</v>
      </c>
      <c r="B12" s="24">
        <v>9</v>
      </c>
    </row>
    <row r="13" spans="1:8" x14ac:dyDescent="0.3">
      <c r="A13" s="24" t="s">
        <v>53</v>
      </c>
      <c r="B13" s="24" t="s">
        <v>54</v>
      </c>
      <c r="C13" s="24" t="s">
        <v>55</v>
      </c>
      <c r="D13" s="24" t="s">
        <v>56</v>
      </c>
    </row>
    <row r="14" spans="1:8" x14ac:dyDescent="0.3">
      <c r="A14" s="62">
        <f>B10</f>
        <v>1200</v>
      </c>
      <c r="B14" s="62">
        <f>C14*C14</f>
        <v>17777.777777777781</v>
      </c>
      <c r="C14" s="62">
        <f>B11/SQRT(B12)</f>
        <v>133.33333333333334</v>
      </c>
      <c r="D14" s="24">
        <f>(1050-B10)/C14</f>
        <v>-1.125</v>
      </c>
    </row>
    <row r="15" spans="1:8" x14ac:dyDescent="0.3">
      <c r="D15" s="61">
        <v>0.13</v>
      </c>
    </row>
    <row r="16" spans="1:8" ht="16.2" thickBot="1" x14ac:dyDescent="0.35"/>
    <row r="17" spans="1:8" ht="16.2" thickBot="1" x14ac:dyDescent="0.35">
      <c r="A17" s="278" t="s">
        <v>11</v>
      </c>
      <c r="B17" s="279"/>
      <c r="C17" s="279"/>
      <c r="D17" s="279"/>
      <c r="E17" s="279"/>
      <c r="F17" s="279"/>
      <c r="G17" s="279"/>
      <c r="H17" s="280"/>
    </row>
    <row r="18" spans="1:8" x14ac:dyDescent="0.3">
      <c r="A18" s="24" t="s">
        <v>3</v>
      </c>
      <c r="B18" s="24">
        <v>25</v>
      </c>
    </row>
    <row r="19" spans="1:8" ht="31.2" x14ac:dyDescent="0.3">
      <c r="A19" s="24" t="s">
        <v>411</v>
      </c>
      <c r="B19" s="24">
        <v>2</v>
      </c>
    </row>
    <row r="20" spans="1:8" ht="31.2" x14ac:dyDescent="0.3">
      <c r="A20" s="24" t="s">
        <v>412</v>
      </c>
      <c r="B20" s="24" t="s">
        <v>413</v>
      </c>
    </row>
    <row r="21" spans="1:8" x14ac:dyDescent="0.3">
      <c r="A21" s="255" t="s">
        <v>53</v>
      </c>
      <c r="B21" s="255"/>
      <c r="C21" s="255"/>
      <c r="D21" s="255"/>
      <c r="E21" s="255" t="s">
        <v>54</v>
      </c>
      <c r="F21" s="255"/>
      <c r="G21" s="255"/>
      <c r="H21" s="255"/>
    </row>
    <row r="22" spans="1:8" ht="31.2" x14ac:dyDescent="0.3">
      <c r="B22" s="24" t="s">
        <v>419</v>
      </c>
      <c r="C22" s="24" t="s">
        <v>417</v>
      </c>
      <c r="D22" s="24" t="s">
        <v>177</v>
      </c>
      <c r="E22" s="287" t="s">
        <v>418</v>
      </c>
      <c r="F22" s="287"/>
      <c r="G22" s="287"/>
      <c r="H22" s="287"/>
    </row>
    <row r="23" spans="1:8" x14ac:dyDescent="0.3">
      <c r="A23" s="24" t="s">
        <v>414</v>
      </c>
      <c r="B23" s="24">
        <f>$B$19/SQRT(1)</f>
        <v>2</v>
      </c>
      <c r="C23" s="24">
        <f t="shared" ref="C23:C28" si="0">(24-$B$18)/B23</f>
        <v>-0.5</v>
      </c>
      <c r="D23" s="24">
        <f>100-69.15</f>
        <v>30.849999999999994</v>
      </c>
      <c r="E23" s="256"/>
      <c r="F23" s="256"/>
      <c r="G23" s="256"/>
      <c r="H23" s="256"/>
    </row>
    <row r="24" spans="1:8" x14ac:dyDescent="0.3">
      <c r="A24" s="24" t="s">
        <v>415</v>
      </c>
      <c r="B24" s="24">
        <f>$B$19/SQRT(4)</f>
        <v>1</v>
      </c>
      <c r="C24" s="24">
        <f t="shared" si="0"/>
        <v>-1</v>
      </c>
      <c r="D24" s="24">
        <f>100-84.13</f>
        <v>15.870000000000005</v>
      </c>
      <c r="E24" s="256"/>
      <c r="F24" s="256"/>
      <c r="G24" s="256"/>
      <c r="H24" s="256"/>
    </row>
    <row r="25" spans="1:8" x14ac:dyDescent="0.3">
      <c r="A25" s="24" t="s">
        <v>416</v>
      </c>
      <c r="B25" s="24">
        <f>$B$19/SQRT(9)</f>
        <v>0.66666666666666663</v>
      </c>
      <c r="C25" s="24">
        <f t="shared" si="0"/>
        <v>-1.5</v>
      </c>
      <c r="D25" s="24">
        <f>100-93.32</f>
        <v>6.6800000000000068</v>
      </c>
      <c r="E25" s="256"/>
      <c r="F25" s="256"/>
      <c r="G25" s="256"/>
      <c r="H25" s="256"/>
    </row>
    <row r="26" spans="1:8" ht="15.6" customHeight="1" x14ac:dyDescent="0.3">
      <c r="B26" s="24">
        <f>$B$19/SQRT(16)</f>
        <v>0.5</v>
      </c>
      <c r="C26" s="24">
        <f t="shared" si="0"/>
        <v>-2</v>
      </c>
      <c r="D26" s="24">
        <f>100-97.72</f>
        <v>2.2800000000000011</v>
      </c>
      <c r="E26" s="256"/>
      <c r="F26" s="256"/>
      <c r="G26" s="256"/>
      <c r="H26" s="256"/>
    </row>
    <row r="27" spans="1:8" x14ac:dyDescent="0.3">
      <c r="B27" s="24">
        <f>$B$19/SQRT(25)</f>
        <v>0.4</v>
      </c>
      <c r="C27" s="24">
        <f t="shared" si="0"/>
        <v>-2.5</v>
      </c>
      <c r="D27" s="24">
        <f>100-99.38</f>
        <v>0.62000000000000455</v>
      </c>
      <c r="E27" s="256"/>
      <c r="F27" s="256"/>
      <c r="G27" s="256"/>
      <c r="H27" s="256"/>
    </row>
    <row r="28" spans="1:8" x14ac:dyDescent="0.3">
      <c r="B28" s="24">
        <f>$B$19/SQRT(36)</f>
        <v>0.33333333333333331</v>
      </c>
      <c r="C28" s="24">
        <f t="shared" si="0"/>
        <v>-3</v>
      </c>
      <c r="D28" s="24">
        <f>100-99.86</f>
        <v>0.14000000000000057</v>
      </c>
      <c r="E28" s="256"/>
      <c r="F28" s="256"/>
      <c r="G28" s="256"/>
      <c r="H28" s="256"/>
    </row>
    <row r="36" spans="1:8" ht="16.2" thickBot="1" x14ac:dyDescent="0.35"/>
    <row r="37" spans="1:8" ht="16.2" thickBot="1" x14ac:dyDescent="0.35">
      <c r="A37" s="278" t="s">
        <v>15</v>
      </c>
      <c r="B37" s="279"/>
      <c r="C37" s="279"/>
      <c r="D37" s="279"/>
      <c r="E37" s="279"/>
      <c r="F37" s="279"/>
      <c r="G37" s="279"/>
      <c r="H37" s="280"/>
    </row>
    <row r="38" spans="1:8" x14ac:dyDescent="0.3">
      <c r="A38" s="24" t="s">
        <v>3</v>
      </c>
      <c r="B38" s="24">
        <v>115000</v>
      </c>
    </row>
    <row r="39" spans="1:8" ht="31.2" x14ac:dyDescent="0.3">
      <c r="A39" s="24" t="s">
        <v>411</v>
      </c>
      <c r="B39" s="24">
        <v>25000</v>
      </c>
    </row>
    <row r="40" spans="1:8" ht="31.2" x14ac:dyDescent="0.3">
      <c r="A40" s="24" t="s">
        <v>412</v>
      </c>
      <c r="B40" s="24">
        <v>100</v>
      </c>
    </row>
    <row r="41" spans="1:8" x14ac:dyDescent="0.3">
      <c r="A41" s="256" t="s">
        <v>420</v>
      </c>
      <c r="B41" s="256">
        <f>B39/SQRT(B40)</f>
        <v>2500</v>
      </c>
      <c r="C41" s="42" t="s">
        <v>53</v>
      </c>
      <c r="D41" s="42" t="s">
        <v>54</v>
      </c>
      <c r="E41" s="42" t="s">
        <v>55</v>
      </c>
      <c r="F41" s="260" t="s">
        <v>56</v>
      </c>
      <c r="G41" s="260"/>
    </row>
    <row r="42" spans="1:8" ht="15.6" customHeight="1" x14ac:dyDescent="0.3">
      <c r="A42" s="256"/>
      <c r="B42" s="256"/>
      <c r="C42" s="24">
        <f>(110000-$B$38)/$B$41</f>
        <v>-2</v>
      </c>
      <c r="D42" s="24">
        <f>(113000-$B$38)/$B$41</f>
        <v>-0.8</v>
      </c>
      <c r="E42" s="24">
        <f>(114000-$B$38)/$B$41</f>
        <v>-0.4</v>
      </c>
      <c r="F42" s="288" t="s">
        <v>421</v>
      </c>
      <c r="G42" s="288"/>
    </row>
    <row r="43" spans="1:8" x14ac:dyDescent="0.3">
      <c r="A43" s="256"/>
      <c r="B43" s="256"/>
      <c r="C43" s="62">
        <f>1-NORMSDIST(C42)</f>
        <v>0.97724986805182079</v>
      </c>
      <c r="D43" s="24">
        <f>(117000-$B$38)/$B$41</f>
        <v>0.8</v>
      </c>
      <c r="E43" s="24">
        <f>(116000-$B$38)/$B$41</f>
        <v>0.4</v>
      </c>
      <c r="F43" s="65"/>
      <c r="G43" s="66"/>
    </row>
    <row r="44" spans="1:8" x14ac:dyDescent="0.3">
      <c r="D44" s="62">
        <f>(50-(100-78.81))*2</f>
        <v>57.620000000000005</v>
      </c>
      <c r="E44" s="62">
        <f>(50-(100-65.54))*2</f>
        <v>31.080000000000013</v>
      </c>
    </row>
    <row r="45" spans="1:8" ht="16.2" thickBot="1" x14ac:dyDescent="0.35"/>
    <row r="46" spans="1:8" ht="16.2" thickBot="1" x14ac:dyDescent="0.35">
      <c r="A46" s="278" t="s">
        <v>16</v>
      </c>
      <c r="B46" s="279"/>
      <c r="C46" s="279"/>
      <c r="D46" s="279"/>
      <c r="E46" s="279"/>
      <c r="F46" s="279"/>
      <c r="G46" s="279"/>
      <c r="H46" s="280"/>
    </row>
    <row r="47" spans="1:8" x14ac:dyDescent="0.3">
      <c r="A47" s="24" t="s">
        <v>3</v>
      </c>
      <c r="B47" s="24">
        <v>280</v>
      </c>
    </row>
    <row r="48" spans="1:8" ht="31.2" x14ac:dyDescent="0.3">
      <c r="A48" s="24" t="s">
        <v>411</v>
      </c>
      <c r="B48" s="24">
        <v>60</v>
      </c>
    </row>
    <row r="49" spans="1:8" ht="31.2" x14ac:dyDescent="0.3">
      <c r="A49" s="24" t="s">
        <v>412</v>
      </c>
      <c r="B49" s="24">
        <v>9</v>
      </c>
    </row>
    <row r="50" spans="1:8" x14ac:dyDescent="0.3">
      <c r="A50" s="256" t="s">
        <v>420</v>
      </c>
      <c r="B50" s="256">
        <f>B48/SQRT(B49)</f>
        <v>20</v>
      </c>
    </row>
    <row r="51" spans="1:8" x14ac:dyDescent="0.3">
      <c r="A51" s="256"/>
      <c r="B51" s="256"/>
    </row>
    <row r="52" spans="1:8" x14ac:dyDescent="0.3">
      <c r="A52" s="256"/>
      <c r="B52" s="256"/>
    </row>
    <row r="53" spans="1:8" x14ac:dyDescent="0.3">
      <c r="A53" s="146" t="s">
        <v>53</v>
      </c>
      <c r="B53" s="42" t="s">
        <v>54</v>
      </c>
      <c r="C53" s="42" t="s">
        <v>55</v>
      </c>
      <c r="D53" s="260" t="s">
        <v>56</v>
      </c>
      <c r="E53" s="260"/>
      <c r="F53" s="260"/>
      <c r="G53" s="260"/>
      <c r="H53" s="260"/>
    </row>
    <row r="54" spans="1:8" ht="15.6" customHeight="1" x14ac:dyDescent="0.3">
      <c r="A54" s="62">
        <f>B50</f>
        <v>20</v>
      </c>
      <c r="B54" s="24">
        <f>(270-$B$47)/$B$48</f>
        <v>-0.16666666666666666</v>
      </c>
      <c r="C54" s="24">
        <f>(250-$B$47)/$B$48</f>
        <v>-0.5</v>
      </c>
      <c r="D54" s="64" t="s">
        <v>53</v>
      </c>
      <c r="E54" s="64" t="s">
        <v>432</v>
      </c>
      <c r="F54" s="289" t="s">
        <v>434</v>
      </c>
      <c r="G54" s="256"/>
      <c r="H54" s="256" t="s">
        <v>435</v>
      </c>
    </row>
    <row r="55" spans="1:8" x14ac:dyDescent="0.3">
      <c r="B55" s="62">
        <f>NORMSDIST(B54)</f>
        <v>0.43381616738909634</v>
      </c>
      <c r="C55" s="62">
        <f>NORMSDIST(C54)</f>
        <v>0.30853753872598688</v>
      </c>
      <c r="D55" s="62" t="s">
        <v>54</v>
      </c>
      <c r="E55" s="62" t="s">
        <v>432</v>
      </c>
      <c r="F55" s="289"/>
      <c r="G55" s="256"/>
      <c r="H55" s="256"/>
    </row>
    <row r="56" spans="1:8" x14ac:dyDescent="0.3">
      <c r="D56" s="62" t="s">
        <v>55</v>
      </c>
      <c r="E56" s="62" t="s">
        <v>433</v>
      </c>
    </row>
    <row r="61" spans="1:8" ht="16.2" thickBot="1" x14ac:dyDescent="0.35"/>
    <row r="62" spans="1:8" ht="16.2" thickBot="1" x14ac:dyDescent="0.35">
      <c r="A62" s="278" t="s">
        <v>19</v>
      </c>
      <c r="B62" s="279"/>
      <c r="C62" s="279"/>
      <c r="D62" s="279"/>
      <c r="E62" s="279"/>
      <c r="F62" s="279"/>
      <c r="G62" s="279"/>
      <c r="H62" s="280"/>
    </row>
    <row r="63" spans="1:8" x14ac:dyDescent="0.3">
      <c r="A63" s="24" t="s">
        <v>3</v>
      </c>
      <c r="B63" s="24">
        <v>87</v>
      </c>
    </row>
    <row r="64" spans="1:8" ht="31.2" x14ac:dyDescent="0.3">
      <c r="A64" s="24" t="s">
        <v>411</v>
      </c>
      <c r="B64" s="24">
        <v>22</v>
      </c>
    </row>
    <row r="65" spans="1:8" ht="31.2" x14ac:dyDescent="0.3">
      <c r="A65" s="24" t="s">
        <v>412</v>
      </c>
      <c r="B65" s="24">
        <v>16</v>
      </c>
    </row>
    <row r="66" spans="1:8" x14ac:dyDescent="0.3">
      <c r="A66" s="256" t="s">
        <v>420</v>
      </c>
      <c r="B66" s="256">
        <f>B64/SQRT(B65)</f>
        <v>5.5</v>
      </c>
    </row>
    <row r="67" spans="1:8" x14ac:dyDescent="0.3">
      <c r="A67" s="256"/>
      <c r="B67" s="256"/>
    </row>
    <row r="68" spans="1:8" x14ac:dyDescent="0.3">
      <c r="A68" s="256"/>
      <c r="B68" s="256"/>
    </row>
    <row r="70" spans="1:8" x14ac:dyDescent="0.3">
      <c r="A70" s="146" t="s">
        <v>53</v>
      </c>
      <c r="B70" s="42" t="s">
        <v>54</v>
      </c>
      <c r="C70" s="42" t="s">
        <v>55</v>
      </c>
      <c r="D70" s="260" t="s">
        <v>56</v>
      </c>
      <c r="E70" s="260"/>
      <c r="F70" s="260" t="s">
        <v>138</v>
      </c>
      <c r="G70" s="260"/>
      <c r="H70" s="260"/>
    </row>
    <row r="71" spans="1:8" x14ac:dyDescent="0.3">
      <c r="A71" s="62">
        <f>B66</f>
        <v>5.5</v>
      </c>
      <c r="B71" s="24">
        <f>(100-$B$63)/$B$66</f>
        <v>2.3636363636363638</v>
      </c>
      <c r="C71" s="24">
        <f>(80-$B$63)/$B$66</f>
        <v>-1.2727272727272727</v>
      </c>
      <c r="D71" s="24" t="s">
        <v>436</v>
      </c>
      <c r="E71" s="24" t="s">
        <v>437</v>
      </c>
      <c r="F71" s="287" t="s">
        <v>439</v>
      </c>
      <c r="G71" s="287"/>
      <c r="H71" s="287"/>
    </row>
    <row r="72" spans="1:8" ht="16.2" customHeight="1" x14ac:dyDescent="0.3">
      <c r="B72" s="62">
        <f>NORMSDIST(B71)</f>
        <v>0.99095171729315445</v>
      </c>
      <c r="C72" s="62">
        <f>1-NORMSDIST(C71)</f>
        <v>0.89844258182843428</v>
      </c>
      <c r="D72" s="24">
        <f>(85-$B$63)/$B$66</f>
        <v>-0.36363636363636365</v>
      </c>
      <c r="E72" s="24">
        <f>(95-$B$63)/$B$66</f>
        <v>1.4545454545454546</v>
      </c>
      <c r="F72" s="62" t="s">
        <v>54</v>
      </c>
      <c r="G72" s="62" t="s">
        <v>433</v>
      </c>
    </row>
    <row r="73" spans="1:8" ht="16.95" customHeight="1" x14ac:dyDescent="0.3">
      <c r="D73" s="24">
        <f>NORMSDIST(D72)</f>
        <v>0.35806478442778267</v>
      </c>
      <c r="E73" s="24">
        <f>NORMSDIST(E72)</f>
        <v>0.92710242952401201</v>
      </c>
      <c r="F73" s="62" t="s">
        <v>55</v>
      </c>
      <c r="G73" s="62" t="s">
        <v>433</v>
      </c>
    </row>
    <row r="74" spans="1:8" ht="16.2" customHeight="1" x14ac:dyDescent="0.3">
      <c r="D74" s="24" t="s">
        <v>438</v>
      </c>
      <c r="E74" s="147">
        <f>E73-D73</f>
        <v>0.56903764509622934</v>
      </c>
      <c r="F74" s="62" t="s">
        <v>56</v>
      </c>
      <c r="G74" s="62" t="s">
        <v>432</v>
      </c>
    </row>
    <row r="75" spans="1:8" ht="16.2" thickBot="1" x14ac:dyDescent="0.35">
      <c r="E75" s="152">
        <v>0.43290000000000001</v>
      </c>
    </row>
    <row r="76" spans="1:8" ht="16.2" thickBot="1" x14ac:dyDescent="0.35">
      <c r="A76" s="278" t="s">
        <v>22</v>
      </c>
      <c r="B76" s="279"/>
      <c r="C76" s="279"/>
      <c r="D76" s="279"/>
      <c r="E76" s="279"/>
      <c r="F76" s="279"/>
      <c r="G76" s="279"/>
      <c r="H76" s="280"/>
    </row>
    <row r="77" spans="1:8" x14ac:dyDescent="0.3">
      <c r="A77" s="24" t="s">
        <v>3</v>
      </c>
      <c r="B77" s="24">
        <v>20</v>
      </c>
    </row>
    <row r="78" spans="1:8" ht="31.2" x14ac:dyDescent="0.3">
      <c r="A78" s="24" t="s">
        <v>411</v>
      </c>
      <c r="B78" s="24">
        <v>0.6</v>
      </c>
    </row>
    <row r="79" spans="1:8" ht="31.2" x14ac:dyDescent="0.3">
      <c r="A79" s="24" t="s">
        <v>412</v>
      </c>
      <c r="B79" s="24">
        <v>4</v>
      </c>
      <c r="C79" s="24">
        <v>2</v>
      </c>
    </row>
    <row r="80" spans="1:8" x14ac:dyDescent="0.3">
      <c r="A80" s="256" t="s">
        <v>420</v>
      </c>
      <c r="B80" s="256">
        <f>B78/SQRT(B79)</f>
        <v>0.3</v>
      </c>
      <c r="C80" s="256">
        <f>B78/SQRT(C79)</f>
        <v>0.42426406871192845</v>
      </c>
    </row>
    <row r="81" spans="1:8" x14ac:dyDescent="0.3">
      <c r="A81" s="256"/>
      <c r="B81" s="256"/>
      <c r="C81" s="256"/>
    </row>
    <row r="82" spans="1:8" x14ac:dyDescent="0.3">
      <c r="A82" s="256"/>
      <c r="B82" s="256"/>
      <c r="C82" s="256"/>
    </row>
    <row r="84" spans="1:8" x14ac:dyDescent="0.3">
      <c r="A84" s="42" t="s">
        <v>53</v>
      </c>
      <c r="B84" s="42" t="s">
        <v>54</v>
      </c>
      <c r="C84" s="42" t="s">
        <v>55</v>
      </c>
      <c r="D84" s="260" t="s">
        <v>56</v>
      </c>
      <c r="E84" s="260"/>
      <c r="F84" s="260" t="s">
        <v>138</v>
      </c>
      <c r="G84" s="281"/>
      <c r="H84" s="148"/>
    </row>
    <row r="85" spans="1:8" x14ac:dyDescent="0.3">
      <c r="A85" s="62">
        <f>B80</f>
        <v>0.3</v>
      </c>
      <c r="B85" s="24">
        <f>(19.7-$B$77)/$B$80</f>
        <v>-1.0000000000000024</v>
      </c>
      <c r="C85" s="24">
        <f>(20.6-$B$77)/$B$80</f>
        <v>2.0000000000000049</v>
      </c>
      <c r="D85" s="24" t="s">
        <v>440</v>
      </c>
      <c r="E85" s="24" t="s">
        <v>441</v>
      </c>
      <c r="F85" s="24" t="s">
        <v>440</v>
      </c>
      <c r="G85" s="24" t="s">
        <v>441</v>
      </c>
    </row>
    <row r="86" spans="1:8" x14ac:dyDescent="0.3">
      <c r="B86" s="62">
        <f>NORMSDIST(B85)</f>
        <v>0.15865525393145644</v>
      </c>
      <c r="C86" s="62">
        <f>1-NORMSDIST(C85)</f>
        <v>2.2750131948178876E-2</v>
      </c>
      <c r="D86" s="24">
        <f>(19.5-$B$77)/$B$80</f>
        <v>-1.6666666666666667</v>
      </c>
      <c r="E86" s="24">
        <f>(20.5-$B$77)/$B$80</f>
        <v>1.6666666666666667</v>
      </c>
      <c r="F86" s="24">
        <f>(19.5-$B$77)/$C$80</f>
        <v>-1.1785113019775795</v>
      </c>
      <c r="G86" s="24">
        <f>(20.5-$B$77)/$C$80</f>
        <v>1.1785113019775795</v>
      </c>
    </row>
    <row r="87" spans="1:8" x14ac:dyDescent="0.3">
      <c r="D87" s="24">
        <f>NORMSDIST(D86)</f>
        <v>4.7790352272814703E-2</v>
      </c>
      <c r="E87" s="24">
        <f>NORMSDIST(E86)</f>
        <v>0.9522096477271853</v>
      </c>
      <c r="F87" s="24">
        <f>NORMSDIST(F86)</f>
        <v>0.11929641465821765</v>
      </c>
      <c r="G87" s="24">
        <f>NORMSDIST(G86)</f>
        <v>0.88070358534178239</v>
      </c>
    </row>
    <row r="88" spans="1:8" ht="34.950000000000003" customHeight="1" x14ac:dyDescent="0.3">
      <c r="D88" s="24" t="s">
        <v>442</v>
      </c>
      <c r="E88" s="62">
        <f>E87-D87</f>
        <v>0.90441929545437061</v>
      </c>
      <c r="F88" s="24" t="s">
        <v>442</v>
      </c>
      <c r="G88" s="62">
        <f>G87-F87</f>
        <v>0.76140717068356478</v>
      </c>
    </row>
    <row r="89" spans="1:8" ht="16.2" thickBot="1" x14ac:dyDescent="0.35"/>
    <row r="90" spans="1:8" ht="16.2" thickBot="1" x14ac:dyDescent="0.35">
      <c r="A90" s="278" t="s">
        <v>25</v>
      </c>
      <c r="B90" s="279"/>
      <c r="C90" s="279"/>
      <c r="D90" s="279"/>
      <c r="E90" s="279"/>
      <c r="F90" s="279"/>
      <c r="G90" s="279"/>
      <c r="H90" s="280"/>
    </row>
    <row r="91" spans="1:8" x14ac:dyDescent="0.3">
      <c r="A91" s="24" t="s">
        <v>3</v>
      </c>
      <c r="B91" s="24" t="s">
        <v>413</v>
      </c>
    </row>
    <row r="92" spans="1:8" ht="31.2" x14ac:dyDescent="0.3">
      <c r="A92" s="24" t="s">
        <v>411</v>
      </c>
      <c r="B92" s="24">
        <v>40</v>
      </c>
    </row>
    <row r="93" spans="1:8" ht="31.2" x14ac:dyDescent="0.3">
      <c r="A93" s="24" t="s">
        <v>412</v>
      </c>
      <c r="B93" s="24">
        <v>100</v>
      </c>
    </row>
    <row r="94" spans="1:8" x14ac:dyDescent="0.3">
      <c r="A94" s="256" t="s">
        <v>420</v>
      </c>
      <c r="B94" s="256">
        <f>B92/SQRT(B93)</f>
        <v>4</v>
      </c>
    </row>
    <row r="95" spans="1:8" x14ac:dyDescent="0.3">
      <c r="A95" s="256"/>
      <c r="B95" s="256"/>
    </row>
    <row r="96" spans="1:8" x14ac:dyDescent="0.3">
      <c r="A96" s="256"/>
      <c r="B96" s="256"/>
    </row>
    <row r="98" spans="1:8" x14ac:dyDescent="0.3">
      <c r="A98" s="146" t="s">
        <v>53</v>
      </c>
      <c r="B98" s="42" t="s">
        <v>54</v>
      </c>
      <c r="C98" s="42" t="s">
        <v>55</v>
      </c>
      <c r="D98" s="260" t="s">
        <v>56</v>
      </c>
      <c r="E98" s="260"/>
    </row>
    <row r="99" spans="1:8" x14ac:dyDescent="0.3">
      <c r="A99" s="62">
        <f>B94</f>
        <v>4</v>
      </c>
      <c r="B99" s="24">
        <f>5/B94</f>
        <v>1.25</v>
      </c>
      <c r="C99" s="24">
        <f>-4/B94</f>
        <v>-1</v>
      </c>
      <c r="D99" s="24" t="s">
        <v>443</v>
      </c>
      <c r="E99" s="24" t="s">
        <v>444</v>
      </c>
    </row>
    <row r="100" spans="1:8" x14ac:dyDescent="0.3">
      <c r="B100" s="62">
        <f>1-NORMSDIST(B99)</f>
        <v>0.10564977366685524</v>
      </c>
      <c r="C100" s="62">
        <f>NORMSDIST(C99)</f>
        <v>0.15865525393145699</v>
      </c>
      <c r="D100" s="24">
        <f>-3/B94</f>
        <v>-0.75</v>
      </c>
      <c r="E100" s="24">
        <f>3/B94</f>
        <v>0.75</v>
      </c>
    </row>
    <row r="101" spans="1:8" x14ac:dyDescent="0.3">
      <c r="D101" s="24">
        <f>NORMSDIST(D100)</f>
        <v>0.22662735237686821</v>
      </c>
      <c r="E101" s="24">
        <f>NORMSDIST(E100)</f>
        <v>0.77337264762313174</v>
      </c>
    </row>
    <row r="102" spans="1:8" ht="46.8" x14ac:dyDescent="0.3">
      <c r="D102" s="24" t="s">
        <v>445</v>
      </c>
      <c r="E102" s="62">
        <f>1-(E101-D101)</f>
        <v>0.45325470475373653</v>
      </c>
    </row>
    <row r="103" spans="1:8" ht="16.2" thickBot="1" x14ac:dyDescent="0.35"/>
    <row r="104" spans="1:8" ht="16.2" thickBot="1" x14ac:dyDescent="0.35">
      <c r="A104" s="278" t="s">
        <v>29</v>
      </c>
      <c r="B104" s="279"/>
      <c r="C104" s="279"/>
      <c r="D104" s="279"/>
      <c r="E104" s="279"/>
      <c r="F104" s="279"/>
      <c r="G104" s="279"/>
      <c r="H104" s="280"/>
    </row>
    <row r="105" spans="1:8" x14ac:dyDescent="0.3">
      <c r="A105" s="24" t="s">
        <v>3</v>
      </c>
      <c r="B105" s="24" t="s">
        <v>413</v>
      </c>
    </row>
    <row r="106" spans="1:8" ht="31.2" x14ac:dyDescent="0.3">
      <c r="A106" s="24" t="s">
        <v>411</v>
      </c>
      <c r="B106" s="24">
        <v>8</v>
      </c>
    </row>
    <row r="107" spans="1:8" ht="31.2" x14ac:dyDescent="0.3">
      <c r="A107" s="24" t="s">
        <v>412</v>
      </c>
      <c r="B107" s="24">
        <v>4</v>
      </c>
      <c r="C107" s="24">
        <v>10</v>
      </c>
    </row>
    <row r="108" spans="1:8" x14ac:dyDescent="0.3">
      <c r="A108" s="256" t="s">
        <v>420</v>
      </c>
      <c r="B108" s="256">
        <f>$B$106/SQRT(B107)</f>
        <v>4</v>
      </c>
      <c r="C108" s="256">
        <f>$B$106/SQRT(C107)</f>
        <v>2.5298221281347035</v>
      </c>
    </row>
    <row r="109" spans="1:8" x14ac:dyDescent="0.3">
      <c r="A109" s="256"/>
      <c r="B109" s="256"/>
      <c r="C109" s="256"/>
    </row>
    <row r="110" spans="1:8" x14ac:dyDescent="0.3">
      <c r="A110" s="256"/>
      <c r="B110" s="256"/>
      <c r="C110" s="256"/>
    </row>
    <row r="112" spans="1:8" x14ac:dyDescent="0.3">
      <c r="A112" s="146" t="s">
        <v>53</v>
      </c>
      <c r="B112" s="42" t="s">
        <v>54</v>
      </c>
      <c r="C112" s="281" t="s">
        <v>55</v>
      </c>
      <c r="D112" s="290"/>
      <c r="E112" s="260" t="s">
        <v>56</v>
      </c>
      <c r="F112" s="260"/>
    </row>
    <row r="113" spans="1:8" ht="16.95" customHeight="1" x14ac:dyDescent="0.3">
      <c r="A113" s="42">
        <f>2/B108</f>
        <v>0.5</v>
      </c>
      <c r="B113" s="24">
        <f>-3/B108</f>
        <v>-0.75</v>
      </c>
      <c r="C113" s="24" t="s">
        <v>446</v>
      </c>
      <c r="D113" s="24" t="s">
        <v>447</v>
      </c>
      <c r="E113" s="24" t="s">
        <v>53</v>
      </c>
      <c r="F113" s="62" t="s">
        <v>433</v>
      </c>
    </row>
    <row r="114" spans="1:8" x14ac:dyDescent="0.3">
      <c r="A114" s="62">
        <f>1-NORMSDIST(A113)</f>
        <v>0.30853753872598688</v>
      </c>
      <c r="B114" s="62">
        <f>NORMSDIST(B113)</f>
        <v>0.22662735237686821</v>
      </c>
      <c r="C114" s="24">
        <f>-4/B108</f>
        <v>-1</v>
      </c>
      <c r="D114" s="24">
        <f>4/B108</f>
        <v>1</v>
      </c>
      <c r="E114" s="24" t="s">
        <v>54</v>
      </c>
      <c r="F114" s="62" t="s">
        <v>432</v>
      </c>
    </row>
    <row r="115" spans="1:8" x14ac:dyDescent="0.3">
      <c r="C115" s="24">
        <f>NORMSDIST(C114)</f>
        <v>0.15865525393145699</v>
      </c>
      <c r="D115" s="24">
        <f>NORMSDIST(D114)</f>
        <v>0.84134474606854304</v>
      </c>
      <c r="E115" s="24" t="s">
        <v>55</v>
      </c>
      <c r="F115" s="62" t="s">
        <v>432</v>
      </c>
    </row>
    <row r="116" spans="1:8" ht="46.8" x14ac:dyDescent="0.3">
      <c r="C116" s="24" t="s">
        <v>448</v>
      </c>
      <c r="D116" s="62">
        <f>1-(D115-C115)</f>
        <v>0.31731050786291393</v>
      </c>
    </row>
    <row r="117" spans="1:8" ht="16.2" thickBot="1" x14ac:dyDescent="0.35"/>
    <row r="118" spans="1:8" ht="16.2" thickBot="1" x14ac:dyDescent="0.35">
      <c r="A118" s="278" t="s">
        <v>34</v>
      </c>
      <c r="B118" s="279"/>
      <c r="C118" s="279"/>
      <c r="D118" s="279"/>
      <c r="E118" s="279"/>
      <c r="F118" s="279"/>
      <c r="G118" s="279"/>
      <c r="H118" s="280"/>
    </row>
    <row r="119" spans="1:8" x14ac:dyDescent="0.3">
      <c r="A119" s="24" t="s">
        <v>3</v>
      </c>
      <c r="B119" s="24" t="s">
        <v>413</v>
      </c>
    </row>
    <row r="120" spans="1:8" ht="31.2" x14ac:dyDescent="0.3">
      <c r="A120" s="24" t="s">
        <v>411</v>
      </c>
      <c r="B120" s="24">
        <v>1.6E-2</v>
      </c>
    </row>
    <row r="121" spans="1:8" ht="31.2" x14ac:dyDescent="0.3">
      <c r="A121" s="24" t="s">
        <v>412</v>
      </c>
      <c r="B121" s="24">
        <v>100</v>
      </c>
    </row>
    <row r="122" spans="1:8" x14ac:dyDescent="0.3">
      <c r="A122" s="256" t="s">
        <v>420</v>
      </c>
      <c r="B122" s="256">
        <f>SQRT((B120*(1-B120))/B121)</f>
        <v>1.2547509713086498E-2</v>
      </c>
      <c r="C122" s="256"/>
    </row>
    <row r="123" spans="1:8" x14ac:dyDescent="0.3">
      <c r="A123" s="256"/>
      <c r="B123" s="256"/>
      <c r="C123" s="256"/>
    </row>
    <row r="124" spans="1:8" x14ac:dyDescent="0.3">
      <c r="A124" s="256"/>
      <c r="B124" s="256"/>
      <c r="C124" s="256"/>
    </row>
    <row r="126" spans="1:8" x14ac:dyDescent="0.3">
      <c r="A126" s="42" t="s">
        <v>53</v>
      </c>
      <c r="B126" s="42" t="s">
        <v>54</v>
      </c>
      <c r="C126" s="260" t="s">
        <v>55</v>
      </c>
      <c r="D126" s="260"/>
      <c r="E126" s="260" t="s">
        <v>56</v>
      </c>
      <c r="F126" s="260"/>
    </row>
    <row r="139" spans="1:8" ht="16.2" thickBot="1" x14ac:dyDescent="0.35"/>
    <row r="140" spans="1:8" ht="16.2" thickBot="1" x14ac:dyDescent="0.35">
      <c r="A140" s="278" t="s">
        <v>42</v>
      </c>
      <c r="B140" s="279"/>
      <c r="C140" s="279"/>
      <c r="D140" s="279"/>
      <c r="E140" s="279"/>
      <c r="F140" s="279"/>
      <c r="G140" s="279"/>
      <c r="H140" s="280"/>
    </row>
    <row r="141" spans="1:8" x14ac:dyDescent="0.3">
      <c r="A141" s="24" t="s">
        <v>3</v>
      </c>
      <c r="B141" s="24" t="s">
        <v>413</v>
      </c>
    </row>
    <row r="142" spans="1:8" ht="31.2" x14ac:dyDescent="0.3">
      <c r="A142" s="24" t="s">
        <v>411</v>
      </c>
      <c r="B142" s="24">
        <v>3.8</v>
      </c>
    </row>
    <row r="143" spans="1:8" ht="31.2" x14ac:dyDescent="0.3">
      <c r="A143" s="24" t="s">
        <v>412</v>
      </c>
      <c r="B143" s="24">
        <v>40</v>
      </c>
    </row>
    <row r="144" spans="1:8" x14ac:dyDescent="0.3">
      <c r="A144" s="256" t="s">
        <v>420</v>
      </c>
      <c r="B144" s="256">
        <f>B142/SQRT(B143)</f>
        <v>0.60083275543199199</v>
      </c>
      <c r="C144" s="256"/>
    </row>
    <row r="145" spans="1:9" x14ac:dyDescent="0.3">
      <c r="A145" s="256"/>
      <c r="B145" s="256"/>
      <c r="C145" s="256"/>
    </row>
    <row r="146" spans="1:9" x14ac:dyDescent="0.3">
      <c r="A146" s="256"/>
      <c r="B146" s="256"/>
      <c r="C146" s="256"/>
    </row>
    <row r="148" spans="1:9" x14ac:dyDescent="0.3">
      <c r="A148" s="281" t="s">
        <v>53</v>
      </c>
      <c r="B148" s="282"/>
      <c r="C148" s="42" t="s">
        <v>54</v>
      </c>
      <c r="D148" s="42" t="s">
        <v>55</v>
      </c>
      <c r="E148" s="151"/>
      <c r="F148" s="151"/>
      <c r="I148"/>
    </row>
    <row r="149" spans="1:9" x14ac:dyDescent="0.3">
      <c r="A149" s="24" t="s">
        <v>450</v>
      </c>
      <c r="B149" s="24" t="s">
        <v>451</v>
      </c>
      <c r="C149" s="62" t="s">
        <v>449</v>
      </c>
      <c r="D149" s="62" t="s">
        <v>453</v>
      </c>
    </row>
    <row r="150" spans="1:9" x14ac:dyDescent="0.3">
      <c r="A150" s="24">
        <f>-1/B144</f>
        <v>-1.6643566632465157</v>
      </c>
      <c r="B150" s="24">
        <f>1/B144</f>
        <v>1.6643566632465157</v>
      </c>
    </row>
    <row r="151" spans="1:9" x14ac:dyDescent="0.3">
      <c r="A151" s="24">
        <f>NORMSDIST(A150)</f>
        <v>4.8020587518203928E-2</v>
      </c>
      <c r="B151" s="24">
        <f>NORMSDIST(B150)</f>
        <v>0.95197941248179607</v>
      </c>
    </row>
    <row r="152" spans="1:9" ht="31.2" x14ac:dyDescent="0.3">
      <c r="A152" s="24" t="s">
        <v>452</v>
      </c>
      <c r="B152" s="42">
        <f>1-(B151-A151)</f>
        <v>9.6041175036407855E-2</v>
      </c>
    </row>
    <row r="153" spans="1:9" x14ac:dyDescent="0.3">
      <c r="A153" s="24" t="s">
        <v>195</v>
      </c>
      <c r="B153" s="62">
        <f>B143</f>
        <v>40</v>
      </c>
    </row>
    <row r="154" spans="1:9" ht="16.2" thickBot="1" x14ac:dyDescent="0.35"/>
    <row r="155" spans="1:9" ht="16.2" thickBot="1" x14ac:dyDescent="0.35">
      <c r="A155" s="278" t="s">
        <v>45</v>
      </c>
      <c r="B155" s="279"/>
      <c r="C155" s="279"/>
      <c r="D155" s="279"/>
      <c r="E155" s="279"/>
      <c r="F155" s="279"/>
      <c r="G155" s="279"/>
      <c r="H155" s="280"/>
    </row>
    <row r="156" spans="1:9" x14ac:dyDescent="0.3">
      <c r="A156" s="24" t="s">
        <v>3</v>
      </c>
      <c r="B156" s="24" t="s">
        <v>413</v>
      </c>
    </row>
    <row r="157" spans="1:9" ht="31.2" x14ac:dyDescent="0.3">
      <c r="A157" s="24" t="s">
        <v>411</v>
      </c>
      <c r="B157" s="24">
        <v>8.4</v>
      </c>
    </row>
    <row r="158" spans="1:9" ht="31.2" x14ac:dyDescent="0.3">
      <c r="A158" s="24" t="s">
        <v>412</v>
      </c>
    </row>
    <row r="159" spans="1:9" x14ac:dyDescent="0.3">
      <c r="A159" s="256" t="s">
        <v>420</v>
      </c>
      <c r="B159" s="256"/>
      <c r="C159" s="256"/>
    </row>
    <row r="160" spans="1:9" x14ac:dyDescent="0.3">
      <c r="A160" s="256"/>
      <c r="B160" s="256"/>
      <c r="C160" s="256"/>
      <c r="G160" s="256"/>
      <c r="H160" s="256"/>
      <c r="I160" s="256"/>
    </row>
    <row r="161" spans="1:9" x14ac:dyDescent="0.3">
      <c r="A161" s="256"/>
      <c r="B161" s="256"/>
      <c r="C161" s="256"/>
      <c r="G161" s="256"/>
      <c r="H161" s="256"/>
      <c r="I161" s="256"/>
    </row>
    <row r="162" spans="1:9" x14ac:dyDescent="0.3">
      <c r="G162" s="256"/>
      <c r="H162" s="256"/>
      <c r="I162" s="256"/>
    </row>
    <row r="163" spans="1:9" x14ac:dyDescent="0.3">
      <c r="A163" s="281" t="s">
        <v>53</v>
      </c>
      <c r="B163" s="282"/>
      <c r="C163" s="42" t="s">
        <v>54</v>
      </c>
      <c r="D163" s="42" t="s">
        <v>55</v>
      </c>
    </row>
    <row r="164" spans="1:9" x14ac:dyDescent="0.3">
      <c r="A164" s="24" t="s">
        <v>417</v>
      </c>
      <c r="B164" s="24">
        <f>NORMSINV(0.025)</f>
        <v>-1.9599639845400538</v>
      </c>
      <c r="C164" s="62" t="s">
        <v>453</v>
      </c>
      <c r="D164" s="62" t="s">
        <v>449</v>
      </c>
      <c r="G164" s="256"/>
      <c r="H164" s="256"/>
    </row>
    <row r="165" spans="1:9" ht="46.8" x14ac:dyDescent="0.3">
      <c r="A165" s="24" t="s">
        <v>44</v>
      </c>
      <c r="B165" s="24">
        <f>-2/B164</f>
        <v>1.0204269138493081</v>
      </c>
    </row>
    <row r="166" spans="1:9" ht="46.8" x14ac:dyDescent="0.3">
      <c r="A166" s="24" t="s">
        <v>454</v>
      </c>
      <c r="B166" s="24">
        <f>(B157/B165)^2</f>
        <v>67.763333597044351</v>
      </c>
    </row>
    <row r="167" spans="1:9" x14ac:dyDescent="0.3">
      <c r="A167" s="24" t="s">
        <v>195</v>
      </c>
      <c r="B167" s="62">
        <v>68</v>
      </c>
    </row>
    <row r="168" spans="1:9" ht="16.2" thickBot="1" x14ac:dyDescent="0.35"/>
    <row r="169" spans="1:9" ht="16.2" thickBot="1" x14ac:dyDescent="0.35">
      <c r="A169" s="285" t="s">
        <v>46</v>
      </c>
      <c r="B169" s="286"/>
      <c r="C169" s="286"/>
      <c r="D169" s="286"/>
      <c r="E169" s="279"/>
      <c r="F169" s="279"/>
      <c r="G169" s="279"/>
      <c r="H169" s="280"/>
    </row>
    <row r="170" spans="1:9" x14ac:dyDescent="0.3">
      <c r="A170" s="255" t="s">
        <v>53</v>
      </c>
      <c r="B170" s="255"/>
      <c r="C170" s="255"/>
      <c r="D170" s="255"/>
      <c r="E170" s="25"/>
      <c r="F170" s="25"/>
      <c r="G170" s="25"/>
      <c r="H170" s="25"/>
    </row>
    <row r="171" spans="1:9" ht="31.2" x14ac:dyDescent="0.3">
      <c r="B171" s="24" t="s">
        <v>455</v>
      </c>
      <c r="C171" s="24" t="s">
        <v>462</v>
      </c>
      <c r="D171" s="24" t="s">
        <v>461</v>
      </c>
    </row>
    <row r="172" spans="1:9" x14ac:dyDescent="0.3">
      <c r="B172" s="24">
        <v>2</v>
      </c>
      <c r="C172" s="24">
        <f t="shared" ref="C172:C177" si="1">(B172-$B$179)^2</f>
        <v>12.25</v>
      </c>
    </row>
    <row r="173" spans="1:9" x14ac:dyDescent="0.3">
      <c r="B173" s="24">
        <v>4</v>
      </c>
      <c r="C173" s="24">
        <f t="shared" si="1"/>
        <v>2.25</v>
      </c>
    </row>
    <row r="174" spans="1:9" x14ac:dyDescent="0.3">
      <c r="B174" s="24">
        <v>6</v>
      </c>
      <c r="C174" s="24">
        <f t="shared" si="1"/>
        <v>0.25</v>
      </c>
    </row>
    <row r="175" spans="1:9" x14ac:dyDescent="0.3">
      <c r="B175" s="24">
        <v>6</v>
      </c>
      <c r="C175" s="24">
        <f t="shared" si="1"/>
        <v>0.25</v>
      </c>
    </row>
    <row r="176" spans="1:9" x14ac:dyDescent="0.3">
      <c r="B176" s="24">
        <v>7</v>
      </c>
      <c r="C176" s="24">
        <f t="shared" si="1"/>
        <v>2.25</v>
      </c>
    </row>
    <row r="177" spans="1:6" x14ac:dyDescent="0.3">
      <c r="B177" s="24">
        <v>8</v>
      </c>
      <c r="C177" s="24">
        <f t="shared" si="1"/>
        <v>6.25</v>
      </c>
    </row>
    <row r="178" spans="1:6" x14ac:dyDescent="0.3">
      <c r="A178" s="24" t="s">
        <v>98</v>
      </c>
      <c r="B178" s="24">
        <f>SUM(B172:B177)</f>
        <v>33</v>
      </c>
      <c r="C178" s="24">
        <f>SUM(C172:C177)</f>
        <v>23.5</v>
      </c>
    </row>
    <row r="179" spans="1:6" x14ac:dyDescent="0.3">
      <c r="A179" s="24" t="s">
        <v>3</v>
      </c>
      <c r="B179" s="24">
        <f>AVERAGE(B172:B177)</f>
        <v>5.5</v>
      </c>
    </row>
    <row r="180" spans="1:6" x14ac:dyDescent="0.3">
      <c r="A180" s="24" t="s">
        <v>134</v>
      </c>
      <c r="B180" s="62">
        <f>VARP(B172:B177)</f>
        <v>3.9166666666666665</v>
      </c>
      <c r="C180" s="62">
        <f>C178/6</f>
        <v>3.9166666666666665</v>
      </c>
      <c r="D180" s="62">
        <f>47/12</f>
        <v>3.9166666666666665</v>
      </c>
    </row>
    <row r="181" spans="1:6" ht="31.2" x14ac:dyDescent="0.3">
      <c r="A181" s="24" t="s">
        <v>4</v>
      </c>
      <c r="B181" s="24">
        <f>STDEVP(B172:B177)</f>
        <v>1.9790570145063195</v>
      </c>
      <c r="C181" s="24">
        <f>SQRT(C180)</f>
        <v>1.9790570145063195</v>
      </c>
    </row>
    <row r="183" spans="1:6" x14ac:dyDescent="0.3">
      <c r="A183" s="260" t="s">
        <v>54</v>
      </c>
      <c r="B183" s="260"/>
      <c r="C183" s="260"/>
      <c r="D183" s="260"/>
      <c r="E183" s="260"/>
      <c r="F183" s="260"/>
    </row>
    <row r="184" spans="1:6" ht="46.8" x14ac:dyDescent="0.3">
      <c r="A184" s="24" t="s">
        <v>456</v>
      </c>
      <c r="B184" s="24" t="s">
        <v>457</v>
      </c>
      <c r="C184" s="24" t="s">
        <v>458</v>
      </c>
      <c r="D184" s="24" t="s">
        <v>459</v>
      </c>
      <c r="E184" s="24" t="s">
        <v>460</v>
      </c>
      <c r="F184" s="24" t="s">
        <v>461</v>
      </c>
    </row>
    <row r="185" spans="1:6" x14ac:dyDescent="0.3">
      <c r="A185" s="24">
        <v>2466</v>
      </c>
      <c r="B185" s="24">
        <v>1</v>
      </c>
      <c r="C185" s="24">
        <v>4.5</v>
      </c>
      <c r="D185" s="24">
        <f>(C185-$B$179)^2</f>
        <v>1</v>
      </c>
      <c r="E185" s="24">
        <f>D185*B185/$B$196</f>
        <v>6.6666666666666666E-2</v>
      </c>
    </row>
    <row r="186" spans="1:6" x14ac:dyDescent="0.3">
      <c r="A186" s="24">
        <v>2467</v>
      </c>
      <c r="B186" s="24">
        <v>2</v>
      </c>
      <c r="C186" s="24">
        <v>4.75</v>
      </c>
      <c r="D186" s="24">
        <f t="shared" ref="D186:D195" si="2">(C186-$B$179)^2</f>
        <v>0.5625</v>
      </c>
      <c r="E186" s="24">
        <f t="shared" ref="E186:E195" si="3">D186*B186/$B$196</f>
        <v>7.4999999999999997E-2</v>
      </c>
    </row>
    <row r="187" spans="1:6" x14ac:dyDescent="0.3">
      <c r="A187" s="24">
        <v>2468</v>
      </c>
      <c r="B187" s="24">
        <v>2</v>
      </c>
      <c r="C187" s="24">
        <v>5</v>
      </c>
      <c r="D187" s="24">
        <f t="shared" si="2"/>
        <v>0.25</v>
      </c>
      <c r="E187" s="24">
        <f t="shared" si="3"/>
        <v>3.3333333333333333E-2</v>
      </c>
    </row>
    <row r="188" spans="1:6" x14ac:dyDescent="0.3">
      <c r="A188" s="24">
        <v>2478</v>
      </c>
      <c r="B188" s="24">
        <v>1</v>
      </c>
      <c r="C188" s="24">
        <v>5.25</v>
      </c>
      <c r="D188" s="24">
        <f t="shared" si="2"/>
        <v>6.25E-2</v>
      </c>
      <c r="E188" s="24">
        <f t="shared" si="3"/>
        <v>4.1666666666666666E-3</v>
      </c>
    </row>
    <row r="189" spans="1:6" x14ac:dyDescent="0.3">
      <c r="A189" s="24">
        <v>2667</v>
      </c>
      <c r="B189" s="24">
        <v>1</v>
      </c>
      <c r="C189" s="24">
        <v>5.25</v>
      </c>
      <c r="D189" s="24">
        <f t="shared" si="2"/>
        <v>6.25E-2</v>
      </c>
      <c r="E189" s="24">
        <f t="shared" si="3"/>
        <v>4.1666666666666666E-3</v>
      </c>
    </row>
    <row r="190" spans="1:6" x14ac:dyDescent="0.3">
      <c r="A190" s="24">
        <v>2668</v>
      </c>
      <c r="B190" s="24">
        <v>1</v>
      </c>
      <c r="C190" s="24">
        <v>5.5</v>
      </c>
      <c r="D190" s="24">
        <f t="shared" si="2"/>
        <v>0</v>
      </c>
      <c r="E190" s="24">
        <f t="shared" si="3"/>
        <v>0</v>
      </c>
    </row>
    <row r="191" spans="1:6" x14ac:dyDescent="0.3">
      <c r="A191" s="24">
        <v>2678</v>
      </c>
      <c r="B191" s="24">
        <v>2</v>
      </c>
      <c r="C191" s="24">
        <v>5.75</v>
      </c>
      <c r="D191" s="24">
        <f t="shared" si="2"/>
        <v>6.25E-2</v>
      </c>
      <c r="E191" s="24">
        <f t="shared" si="3"/>
        <v>8.3333333333333332E-3</v>
      </c>
    </row>
    <row r="192" spans="1:6" x14ac:dyDescent="0.3">
      <c r="A192" s="24">
        <v>4667</v>
      </c>
      <c r="B192" s="24">
        <v>1</v>
      </c>
      <c r="C192" s="24">
        <v>5.75</v>
      </c>
      <c r="D192" s="24">
        <f t="shared" si="2"/>
        <v>6.25E-2</v>
      </c>
      <c r="E192" s="24">
        <f t="shared" si="3"/>
        <v>4.1666666666666666E-3</v>
      </c>
    </row>
    <row r="193" spans="1:6" x14ac:dyDescent="0.3">
      <c r="A193" s="24">
        <v>4668</v>
      </c>
      <c r="B193" s="24">
        <v>1</v>
      </c>
      <c r="C193" s="24">
        <v>6</v>
      </c>
      <c r="D193" s="24">
        <f t="shared" si="2"/>
        <v>0.25</v>
      </c>
      <c r="E193" s="24">
        <f t="shared" si="3"/>
        <v>1.6666666666666666E-2</v>
      </c>
    </row>
    <row r="194" spans="1:6" x14ac:dyDescent="0.3">
      <c r="A194" s="24">
        <v>4678</v>
      </c>
      <c r="B194" s="24">
        <v>2</v>
      </c>
      <c r="C194" s="24">
        <v>6.25</v>
      </c>
      <c r="D194" s="24">
        <f t="shared" si="2"/>
        <v>0.5625</v>
      </c>
      <c r="E194" s="24">
        <f t="shared" si="3"/>
        <v>7.4999999999999997E-2</v>
      </c>
    </row>
    <row r="195" spans="1:6" x14ac:dyDescent="0.3">
      <c r="A195" s="24">
        <v>6678</v>
      </c>
      <c r="B195" s="24">
        <v>1</v>
      </c>
      <c r="C195" s="24">
        <v>6.75</v>
      </c>
      <c r="D195" s="24">
        <f t="shared" si="2"/>
        <v>1.5625</v>
      </c>
      <c r="E195" s="24">
        <f t="shared" si="3"/>
        <v>0.10416666666666667</v>
      </c>
    </row>
    <row r="196" spans="1:6" x14ac:dyDescent="0.3">
      <c r="A196" s="24" t="s">
        <v>98</v>
      </c>
      <c r="B196" s="24">
        <f>SUM(B185:B195)</f>
        <v>15</v>
      </c>
      <c r="E196" s="62">
        <f>SUM(E185:E195)</f>
        <v>0.39166666666666672</v>
      </c>
      <c r="F196" s="62">
        <f>47/120</f>
        <v>0.39166666666666666</v>
      </c>
    </row>
    <row r="198" spans="1:6" x14ac:dyDescent="0.3">
      <c r="A198" s="260" t="s">
        <v>55</v>
      </c>
      <c r="B198" s="260"/>
      <c r="C198" s="260"/>
      <c r="D198" s="260"/>
      <c r="E198" s="260"/>
      <c r="F198" s="260"/>
    </row>
    <row r="199" spans="1:6" x14ac:dyDescent="0.3">
      <c r="B199" s="24" t="s">
        <v>463</v>
      </c>
      <c r="C199" s="24" t="s">
        <v>462</v>
      </c>
    </row>
    <row r="200" spans="1:6" x14ac:dyDescent="0.3">
      <c r="B200" s="24">
        <v>2</v>
      </c>
      <c r="C200" s="24">
        <f>(B200-$B$205)^2</f>
        <v>6.25</v>
      </c>
    </row>
    <row r="201" spans="1:6" x14ac:dyDescent="0.3">
      <c r="B201" s="24">
        <v>4</v>
      </c>
      <c r="C201" s="24">
        <f>(B201-$B$205)^2</f>
        <v>0.25</v>
      </c>
    </row>
    <row r="202" spans="1:6" x14ac:dyDescent="0.3">
      <c r="B202" s="24">
        <v>6</v>
      </c>
      <c r="C202" s="24">
        <f>(B202-$B$205)^2</f>
        <v>2.25</v>
      </c>
    </row>
    <row r="203" spans="1:6" x14ac:dyDescent="0.3">
      <c r="B203" s="24">
        <v>6</v>
      </c>
      <c r="C203" s="24">
        <f>(B203-$B$205)^2</f>
        <v>2.25</v>
      </c>
    </row>
    <row r="204" spans="1:6" x14ac:dyDescent="0.3">
      <c r="A204" s="24" t="s">
        <v>464</v>
      </c>
      <c r="B204" s="24">
        <f>SUM(B200:B203)</f>
        <v>18</v>
      </c>
      <c r="C204" s="24">
        <f>SUM(C200:C203)</f>
        <v>11</v>
      </c>
    </row>
    <row r="205" spans="1:6" x14ac:dyDescent="0.3">
      <c r="A205" s="24" t="s">
        <v>3</v>
      </c>
      <c r="B205" s="24">
        <f>AVERAGE(B200:B203)</f>
        <v>4.5</v>
      </c>
    </row>
    <row r="206" spans="1:6" x14ac:dyDescent="0.3">
      <c r="A206" s="24" t="s">
        <v>134</v>
      </c>
      <c r="B206" s="24">
        <f>VARP(B200:B203)</f>
        <v>2.75</v>
      </c>
      <c r="C206" s="24">
        <f>C204/4</f>
        <v>2.75</v>
      </c>
    </row>
    <row r="207" spans="1:6" ht="31.2" x14ac:dyDescent="0.3">
      <c r="A207" s="24" t="s">
        <v>4</v>
      </c>
      <c r="B207" s="24">
        <f>STDEVP(B200:B203)</f>
        <v>1.6583123951776999</v>
      </c>
      <c r="C207" s="24">
        <f>SQRT(C206)</f>
        <v>1.6583123951776999</v>
      </c>
    </row>
    <row r="212" spans="1:8" x14ac:dyDescent="0.3">
      <c r="B212" s="256">
        <f>E196</f>
        <v>0.39166666666666672</v>
      </c>
      <c r="C212" s="256" t="s">
        <v>316</v>
      </c>
      <c r="D212" s="153">
        <f>C180</f>
        <v>3.9166666666666665</v>
      </c>
      <c r="E212" s="256" t="s">
        <v>238</v>
      </c>
      <c r="F212" s="153">
        <f>6-4</f>
        <v>2</v>
      </c>
    </row>
    <row r="213" spans="1:8" x14ac:dyDescent="0.3">
      <c r="B213" s="256"/>
      <c r="C213" s="256"/>
      <c r="D213" s="24">
        <f>4</f>
        <v>4</v>
      </c>
      <c r="E213" s="256"/>
      <c r="F213" s="24">
        <f>6-1</f>
        <v>5</v>
      </c>
    </row>
    <row r="215" spans="1:8" x14ac:dyDescent="0.3">
      <c r="B215" s="24">
        <f>B212</f>
        <v>0.39166666666666672</v>
      </c>
      <c r="C215" s="24" t="s">
        <v>316</v>
      </c>
      <c r="D215" s="24">
        <f>D212/D213</f>
        <v>0.97916666666666663</v>
      </c>
      <c r="E215" s="24" t="s">
        <v>238</v>
      </c>
      <c r="F215" s="24">
        <f>F212/F213</f>
        <v>0.4</v>
      </c>
    </row>
    <row r="217" spans="1:8" x14ac:dyDescent="0.3">
      <c r="B217" s="150">
        <f>B215</f>
        <v>0.39166666666666672</v>
      </c>
      <c r="C217" s="150" t="s">
        <v>316</v>
      </c>
      <c r="D217" s="150">
        <f>D215*F215</f>
        <v>0.39166666666666666</v>
      </c>
    </row>
    <row r="218" spans="1:8" ht="16.2" thickBot="1" x14ac:dyDescent="0.35"/>
    <row r="219" spans="1:8" ht="16.2" thickBot="1" x14ac:dyDescent="0.35">
      <c r="A219" s="285" t="s">
        <v>47</v>
      </c>
      <c r="B219" s="286"/>
      <c r="C219" s="286"/>
      <c r="D219" s="286"/>
      <c r="E219" s="286"/>
      <c r="F219" s="286"/>
      <c r="G219" s="279"/>
      <c r="H219" s="280"/>
    </row>
    <row r="220" spans="1:8" x14ac:dyDescent="0.3">
      <c r="A220" s="260" t="s">
        <v>53</v>
      </c>
      <c r="B220" s="260"/>
      <c r="C220" s="260"/>
      <c r="D220" s="260"/>
      <c r="E220" s="260"/>
      <c r="F220" s="260"/>
    </row>
    <row r="221" spans="1:8" ht="46.8" x14ac:dyDescent="0.3">
      <c r="A221" s="24" t="s">
        <v>465</v>
      </c>
      <c r="B221" s="24">
        <v>20</v>
      </c>
      <c r="C221" s="24">
        <v>40</v>
      </c>
      <c r="D221" s="24">
        <v>100</v>
      </c>
      <c r="E221" s="24">
        <v>1000</v>
      </c>
      <c r="F221" s="24">
        <v>10000</v>
      </c>
    </row>
    <row r="222" spans="1:8" ht="46.8" x14ac:dyDescent="0.3">
      <c r="A222" s="24" t="s">
        <v>466</v>
      </c>
      <c r="B222" s="24">
        <v>20</v>
      </c>
      <c r="C222" s="24">
        <v>20</v>
      </c>
      <c r="D222" s="24">
        <v>20</v>
      </c>
      <c r="E222" s="24">
        <v>20</v>
      </c>
      <c r="F222" s="24">
        <v>20</v>
      </c>
    </row>
    <row r="225" spans="1:8" x14ac:dyDescent="0.3">
      <c r="D225"/>
    </row>
    <row r="227" spans="1:8" ht="93.6" x14ac:dyDescent="0.3">
      <c r="A227" s="24" t="s">
        <v>467</v>
      </c>
      <c r="B227" s="62">
        <f>100/B222*((B221-B222)/(B221-1))</f>
        <v>0</v>
      </c>
      <c r="C227" s="62">
        <f>100/C222*((C221-C222)/(C221-1))</f>
        <v>2.5641025641025639</v>
      </c>
      <c r="D227" s="62">
        <f>100/D222*((D221-D222)/(D221-1))</f>
        <v>4.0404040404040407</v>
      </c>
      <c r="E227" s="62">
        <f>100/E222*((E221-E222)/(E221-1))</f>
        <v>4.9049049049049049</v>
      </c>
      <c r="F227" s="62">
        <f>100/F222*((F221-F222)/(F221-1))</f>
        <v>4.9904990499049902</v>
      </c>
      <c r="G227" s="256" t="s">
        <v>468</v>
      </c>
      <c r="H227" s="256"/>
    </row>
    <row r="229" spans="1:8" x14ac:dyDescent="0.3">
      <c r="A229" s="283" t="s">
        <v>54</v>
      </c>
      <c r="B229" s="283"/>
      <c r="C229" s="283"/>
      <c r="D229" s="283"/>
      <c r="E229" s="283"/>
      <c r="F229" s="283"/>
    </row>
    <row r="230" spans="1:8" ht="15.6" customHeight="1" x14ac:dyDescent="0.3">
      <c r="A230" s="284" t="s">
        <v>469</v>
      </c>
      <c r="B230" s="284"/>
      <c r="C230" s="284"/>
      <c r="D230" s="284"/>
      <c r="E230" s="284"/>
      <c r="F230" s="284"/>
      <c r="G230" s="151"/>
      <c r="H230" s="151"/>
    </row>
    <row r="231" spans="1:8" x14ac:dyDescent="0.3">
      <c r="A231" s="284"/>
      <c r="B231" s="284"/>
      <c r="C231" s="284"/>
      <c r="D231" s="284"/>
      <c r="E231" s="284"/>
      <c r="F231" s="284"/>
    </row>
    <row r="233" spans="1:8" x14ac:dyDescent="0.3">
      <c r="A233" s="283" t="s">
        <v>55</v>
      </c>
      <c r="B233" s="283"/>
      <c r="C233" s="283"/>
      <c r="D233" s="283"/>
      <c r="E233" s="283"/>
      <c r="F233" s="283"/>
    </row>
    <row r="234" spans="1:8" ht="15.6" customHeight="1" x14ac:dyDescent="0.3">
      <c r="A234" s="284" t="s">
        <v>470</v>
      </c>
      <c r="B234" s="284"/>
      <c r="C234" s="284"/>
      <c r="D234" s="284"/>
      <c r="E234" s="284"/>
      <c r="F234" s="284"/>
    </row>
    <row r="235" spans="1:8" x14ac:dyDescent="0.3">
      <c r="A235" s="284"/>
      <c r="B235" s="284"/>
      <c r="C235" s="284"/>
      <c r="D235" s="284"/>
      <c r="E235" s="284"/>
      <c r="F235" s="284"/>
    </row>
    <row r="236" spans="1:8" x14ac:dyDescent="0.3">
      <c r="A236" s="284"/>
      <c r="B236" s="284"/>
      <c r="C236" s="284"/>
      <c r="D236" s="284"/>
      <c r="E236" s="284"/>
      <c r="F236" s="284"/>
    </row>
    <row r="237" spans="1:8" ht="16.2" thickBot="1" x14ac:dyDescent="0.35"/>
    <row r="238" spans="1:8" ht="16.2" thickBot="1" x14ac:dyDescent="0.35">
      <c r="A238" s="278" t="s">
        <v>48</v>
      </c>
      <c r="B238" s="279"/>
      <c r="C238" s="279"/>
      <c r="D238" s="279"/>
      <c r="E238" s="279"/>
      <c r="F238" s="279"/>
      <c r="G238" s="279"/>
      <c r="H238" s="280"/>
    </row>
    <row r="239" spans="1:8" x14ac:dyDescent="0.3">
      <c r="A239" s="24" t="s">
        <v>3</v>
      </c>
      <c r="B239" s="24">
        <v>800000</v>
      </c>
    </row>
    <row r="240" spans="1:8" ht="31.2" x14ac:dyDescent="0.3">
      <c r="A240" s="24" t="s">
        <v>4</v>
      </c>
      <c r="B240" s="24">
        <v>300000</v>
      </c>
    </row>
    <row r="241" spans="1:8" ht="46.8" x14ac:dyDescent="0.3">
      <c r="A241" s="24" t="s">
        <v>454</v>
      </c>
      <c r="B241" s="24">
        <v>100</v>
      </c>
    </row>
    <row r="242" spans="1:8" ht="46.8" x14ac:dyDescent="0.3">
      <c r="A242" s="24" t="s">
        <v>44</v>
      </c>
      <c r="B242" s="24">
        <f>B240/SQRT(B241)</f>
        <v>30000</v>
      </c>
    </row>
    <row r="244" spans="1:8" x14ac:dyDescent="0.3">
      <c r="A244" s="42" t="s">
        <v>53</v>
      </c>
      <c r="B244" s="42" t="s">
        <v>54</v>
      </c>
      <c r="C244" s="42" t="s">
        <v>55</v>
      </c>
      <c r="D244" s="260" t="s">
        <v>56</v>
      </c>
      <c r="E244" s="260"/>
    </row>
    <row r="245" spans="1:8" ht="20.399999999999999" customHeight="1" x14ac:dyDescent="0.3">
      <c r="A245" s="64">
        <f>B242</f>
        <v>30000</v>
      </c>
      <c r="B245" s="24">
        <f>(825000-$B$239)/$B$242</f>
        <v>0.83333333333333337</v>
      </c>
      <c r="C245" s="24">
        <f>(780000-$B$239)/$B$242</f>
        <v>-0.66666666666666663</v>
      </c>
      <c r="D245" s="24" t="s">
        <v>471</v>
      </c>
      <c r="E245" s="24" t="s">
        <v>472</v>
      </c>
    </row>
    <row r="246" spans="1:8" x14ac:dyDescent="0.3">
      <c r="B246" s="62">
        <f>1-NORMSDIST(B245)</f>
        <v>0.20232838096364303</v>
      </c>
      <c r="C246" s="62">
        <f>1-NORMSDIST(C245)</f>
        <v>0.74750746245307709</v>
      </c>
      <c r="D246" s="24">
        <f>(790000-$B$239)/$B$242</f>
        <v>-0.33333333333333331</v>
      </c>
      <c r="E246" s="24">
        <f>(820000-$B$239)/$B$242</f>
        <v>0.66666666666666663</v>
      </c>
    </row>
    <row r="247" spans="1:8" x14ac:dyDescent="0.3">
      <c r="D247" s="24">
        <f>NORMSDIST(D246)</f>
        <v>0.36944134018176361</v>
      </c>
      <c r="E247" s="24">
        <f>NORMSDIST(E246)</f>
        <v>0.74750746245307709</v>
      </c>
    </row>
    <row r="248" spans="1:8" x14ac:dyDescent="0.3">
      <c r="D248" s="24" t="s">
        <v>473</v>
      </c>
      <c r="E248" s="62">
        <f>E247-D247</f>
        <v>0.37806612227131348</v>
      </c>
    </row>
    <row r="249" spans="1:8" ht="16.2" thickBot="1" x14ac:dyDescent="0.35"/>
    <row r="250" spans="1:8" ht="16.2" thickBot="1" x14ac:dyDescent="0.35">
      <c r="A250" s="278" t="s">
        <v>49</v>
      </c>
      <c r="B250" s="279"/>
      <c r="C250" s="279"/>
      <c r="D250" s="279"/>
      <c r="E250" s="279"/>
      <c r="F250" s="279"/>
      <c r="G250" s="279"/>
      <c r="H250" s="280"/>
    </row>
    <row r="251" spans="1:8" x14ac:dyDescent="0.3">
      <c r="A251" s="24" t="s">
        <v>3</v>
      </c>
      <c r="B251" s="24" t="s">
        <v>413</v>
      </c>
    </row>
    <row r="252" spans="1:8" ht="31.2" x14ac:dyDescent="0.3">
      <c r="A252" s="24" t="s">
        <v>4</v>
      </c>
      <c r="B252" s="24">
        <v>30</v>
      </c>
    </row>
    <row r="253" spans="1:8" ht="46.8" x14ac:dyDescent="0.3">
      <c r="A253" s="24" t="s">
        <v>454</v>
      </c>
      <c r="B253" s="24">
        <v>50</v>
      </c>
    </row>
    <row r="254" spans="1:8" ht="46.8" x14ac:dyDescent="0.3">
      <c r="A254" s="24" t="s">
        <v>44</v>
      </c>
      <c r="B254" s="24">
        <f>B252/SQRT(B253)*SQRT(((250-50)/(250-1)))</f>
        <v>3.8023455031468667</v>
      </c>
    </row>
    <row r="256" spans="1:8" x14ac:dyDescent="0.3">
      <c r="A256" s="42" t="s">
        <v>53</v>
      </c>
      <c r="B256" s="42" t="s">
        <v>54</v>
      </c>
      <c r="C256" s="281" t="s">
        <v>55</v>
      </c>
      <c r="D256" s="282"/>
      <c r="E256" s="151"/>
    </row>
    <row r="257" spans="1:8" ht="31.2" x14ac:dyDescent="0.3">
      <c r="A257" s="46">
        <f>2.5/B254</f>
        <v>0.65748890991914599</v>
      </c>
      <c r="B257" s="24">
        <f>-5/B254</f>
        <v>-1.314977819838292</v>
      </c>
      <c r="C257" s="24" t="s">
        <v>474</v>
      </c>
      <c r="D257" s="24" t="s">
        <v>475</v>
      </c>
    </row>
    <row r="258" spans="1:8" x14ac:dyDescent="0.3">
      <c r="A258" s="62">
        <f>1-NORMSDIST(A257)</f>
        <v>0.25543329977347173</v>
      </c>
      <c r="B258" s="62">
        <f>NORMSDIST(B257)</f>
        <v>9.4258678455019132E-2</v>
      </c>
      <c r="C258" s="24">
        <f>-10/B254</f>
        <v>-2.629955639676584</v>
      </c>
      <c r="D258" s="24">
        <f>10/B254</f>
        <v>2.629955639676584</v>
      </c>
    </row>
    <row r="259" spans="1:8" x14ac:dyDescent="0.3">
      <c r="C259" s="24">
        <f>NORMSDIST(C258)</f>
        <v>4.2698005234493358E-3</v>
      </c>
      <c r="D259" s="24">
        <f>NORMSDIST(D258)</f>
        <v>0.99573019947655061</v>
      </c>
    </row>
    <row r="260" spans="1:8" ht="62.4" x14ac:dyDescent="0.3">
      <c r="C260" s="24" t="s">
        <v>476</v>
      </c>
      <c r="D260" s="62">
        <f>1-(D259-C259)</f>
        <v>8.5396010468987704E-3</v>
      </c>
    </row>
    <row r="261" spans="1:8" ht="16.2" thickBot="1" x14ac:dyDescent="0.35"/>
    <row r="262" spans="1:8" ht="16.2" thickBot="1" x14ac:dyDescent="0.35">
      <c r="A262" s="278" t="s">
        <v>52</v>
      </c>
      <c r="B262" s="279"/>
      <c r="C262" s="279"/>
      <c r="D262" s="279"/>
      <c r="E262" s="279"/>
      <c r="F262" s="279"/>
      <c r="G262" s="279"/>
      <c r="H262" s="280"/>
    </row>
    <row r="263" spans="1:8" x14ac:dyDescent="0.3">
      <c r="A263" s="24" t="s">
        <v>477</v>
      </c>
      <c r="B263" s="25">
        <v>600</v>
      </c>
      <c r="C263" s="25"/>
      <c r="D263" s="25"/>
      <c r="E263" s="25"/>
      <c r="F263" s="25"/>
      <c r="G263" s="25"/>
      <c r="H263" s="25"/>
    </row>
    <row r="264" spans="1:8" x14ac:dyDescent="0.3">
      <c r="A264" s="24" t="s">
        <v>3</v>
      </c>
      <c r="B264" s="24">
        <v>32</v>
      </c>
    </row>
    <row r="265" spans="1:8" ht="31.2" x14ac:dyDescent="0.3">
      <c r="A265" s="24" t="s">
        <v>4</v>
      </c>
      <c r="B265" s="24">
        <v>10</v>
      </c>
    </row>
    <row r="266" spans="1:8" ht="46.8" x14ac:dyDescent="0.3">
      <c r="A266" s="24" t="s">
        <v>454</v>
      </c>
      <c r="B266" s="24">
        <v>150</v>
      </c>
    </row>
    <row r="267" spans="1:8" ht="46.8" x14ac:dyDescent="0.3">
      <c r="A267" s="24" t="s">
        <v>44</v>
      </c>
      <c r="B267" s="24">
        <f>B265/SQRT(B266)*SQRT(((B263-B266)/(B263-1)))</f>
        <v>0.7076967744316075</v>
      </c>
    </row>
    <row r="269" spans="1:8" x14ac:dyDescent="0.3">
      <c r="A269" s="42" t="s">
        <v>53</v>
      </c>
      <c r="B269" s="42" t="s">
        <v>54</v>
      </c>
      <c r="C269" s="42" t="s">
        <v>55</v>
      </c>
      <c r="D269" s="260" t="s">
        <v>56</v>
      </c>
      <c r="E269" s="260"/>
    </row>
    <row r="270" spans="1:8" x14ac:dyDescent="0.3">
      <c r="A270" s="24">
        <f>(31-$B$264)/$B$267</f>
        <v>-1.4130345596151095</v>
      </c>
      <c r="B270" s="24">
        <f>(33-$B$264)/$B$267</f>
        <v>1.4130345596151095</v>
      </c>
      <c r="D270" s="24" t="s">
        <v>478</v>
      </c>
      <c r="E270" s="24" t="s">
        <v>479</v>
      </c>
    </row>
    <row r="271" spans="1:8" x14ac:dyDescent="0.3">
      <c r="A271" s="62">
        <f>1-NORMSDIST(A270)</f>
        <v>0.9211772185953504</v>
      </c>
      <c r="B271" s="62">
        <f>NORMSDIST(B270)</f>
        <v>0.9211772185953504</v>
      </c>
      <c r="D271" s="24">
        <f>(31-$B$264)/$B$267</f>
        <v>-1.4130345596151095</v>
      </c>
      <c r="E271" s="24">
        <f>(33-$B$264)/$B$267</f>
        <v>1.4130345596151095</v>
      </c>
    </row>
    <row r="272" spans="1:8" x14ac:dyDescent="0.3">
      <c r="D272" s="24">
        <f>NORMSDIST(D271)</f>
        <v>7.8822781404649545E-2</v>
      </c>
      <c r="E272" s="24">
        <f>1-NORMSDIST(E271)</f>
        <v>7.88227814046496E-2</v>
      </c>
    </row>
    <row r="273" spans="1:8" ht="62.4" x14ac:dyDescent="0.3">
      <c r="D273" s="24" t="s">
        <v>480</v>
      </c>
      <c r="E273" s="62">
        <f>D272+E272</f>
        <v>0.15764556280929914</v>
      </c>
    </row>
    <row r="274" spans="1:8" ht="16.2" thickBot="1" x14ac:dyDescent="0.35"/>
    <row r="275" spans="1:8" ht="16.2" thickBot="1" x14ac:dyDescent="0.35">
      <c r="A275" s="278" t="s">
        <v>61</v>
      </c>
      <c r="B275" s="279"/>
      <c r="C275" s="279"/>
      <c r="D275" s="279"/>
      <c r="E275" s="279"/>
      <c r="F275" s="279"/>
      <c r="G275" s="279"/>
      <c r="H275" s="280"/>
    </row>
    <row r="276" spans="1:8" x14ac:dyDescent="0.3">
      <c r="A276" s="24" t="s">
        <v>477</v>
      </c>
      <c r="B276" s="25"/>
    </row>
    <row r="277" spans="1:8" x14ac:dyDescent="0.3">
      <c r="A277" s="24" t="s">
        <v>3</v>
      </c>
      <c r="B277" s="24">
        <v>0.42399999999999999</v>
      </c>
    </row>
    <row r="278" spans="1:8" ht="31.2" x14ac:dyDescent="0.3">
      <c r="A278" s="24" t="s">
        <v>4</v>
      </c>
    </row>
    <row r="279" spans="1:8" ht="46.8" x14ac:dyDescent="0.3">
      <c r="A279" s="24" t="s">
        <v>454</v>
      </c>
      <c r="B279" s="24">
        <v>100</v>
      </c>
    </row>
    <row r="280" spans="1:8" ht="46.8" x14ac:dyDescent="0.3">
      <c r="A280" s="24" t="s">
        <v>44</v>
      </c>
      <c r="B280" s="154">
        <f>SQRT(B277*(1-B277)/B279)</f>
        <v>4.9419024676737602E-2</v>
      </c>
    </row>
    <row r="282" spans="1:8" x14ac:dyDescent="0.3">
      <c r="A282" s="146" t="s">
        <v>53</v>
      </c>
      <c r="B282" s="146" t="s">
        <v>54</v>
      </c>
      <c r="C282" s="146" t="s">
        <v>55</v>
      </c>
      <c r="D282" s="42" t="s">
        <v>56</v>
      </c>
    </row>
    <row r="283" spans="1:8" x14ac:dyDescent="0.3">
      <c r="A283" s="155">
        <f>B277</f>
        <v>0.42399999999999999</v>
      </c>
      <c r="B283" s="155">
        <f>C283^2</f>
        <v>2.44224E-3</v>
      </c>
      <c r="C283" s="155">
        <f>B280</f>
        <v>4.9419024676737602E-2</v>
      </c>
      <c r="D283" s="24">
        <f>(0.5-A283)/B280</f>
        <v>1.5378692820656685</v>
      </c>
    </row>
    <row r="284" spans="1:8" x14ac:dyDescent="0.3">
      <c r="D284" s="62">
        <f>1-NORMSDIST(D283)</f>
        <v>6.2040289690807549E-2</v>
      </c>
    </row>
    <row r="285" spans="1:8" ht="16.2" thickBot="1" x14ac:dyDescent="0.35"/>
    <row r="286" spans="1:8" ht="16.2" thickBot="1" x14ac:dyDescent="0.35">
      <c r="A286" s="278" t="s">
        <v>80</v>
      </c>
      <c r="B286" s="279"/>
      <c r="C286" s="279"/>
      <c r="D286" s="279"/>
      <c r="E286" s="279"/>
      <c r="F286" s="279"/>
      <c r="G286" s="279"/>
      <c r="H286" s="280"/>
    </row>
    <row r="287" spans="1:8" x14ac:dyDescent="0.3">
      <c r="A287" s="24" t="s">
        <v>477</v>
      </c>
      <c r="B287" s="25"/>
    </row>
    <row r="288" spans="1:8" x14ac:dyDescent="0.3">
      <c r="A288" s="24" t="s">
        <v>3</v>
      </c>
      <c r="B288" s="24">
        <v>0.75</v>
      </c>
    </row>
    <row r="289" spans="1:8" ht="31.2" x14ac:dyDescent="0.3">
      <c r="A289" s="24" t="s">
        <v>4</v>
      </c>
    </row>
    <row r="290" spans="1:8" ht="46.8" x14ac:dyDescent="0.3">
      <c r="A290" s="24" t="s">
        <v>454</v>
      </c>
      <c r="B290" s="24">
        <v>100</v>
      </c>
    </row>
    <row r="291" spans="1:8" ht="46.8" x14ac:dyDescent="0.3">
      <c r="A291" s="24" t="s">
        <v>44</v>
      </c>
      <c r="B291" s="154">
        <f>SQRT(B288*(1-B288)/B290)</f>
        <v>4.3301270189221933E-2</v>
      </c>
    </row>
    <row r="293" spans="1:8" x14ac:dyDescent="0.3">
      <c r="A293" s="146" t="s">
        <v>53</v>
      </c>
      <c r="B293" s="146" t="s">
        <v>54</v>
      </c>
      <c r="C293" s="146" t="s">
        <v>55</v>
      </c>
      <c r="D293" s="42" t="s">
        <v>56</v>
      </c>
    </row>
    <row r="294" spans="1:8" x14ac:dyDescent="0.3">
      <c r="A294" s="155">
        <f>B288</f>
        <v>0.75</v>
      </c>
      <c r="B294" s="155">
        <f>C294^2</f>
        <v>1.8749999999999999E-3</v>
      </c>
      <c r="C294" s="155">
        <f>B291</f>
        <v>4.3301270189221933E-2</v>
      </c>
      <c r="D294" s="24">
        <f>(0.8-A294)/B291</f>
        <v>1.1547005383792526</v>
      </c>
    </row>
    <row r="295" spans="1:8" x14ac:dyDescent="0.3">
      <c r="D295" s="62">
        <f>1-NORMSDIST(D294)</f>
        <v>0.12410653949496153</v>
      </c>
    </row>
    <row r="296" spans="1:8" ht="16.2" thickBot="1" x14ac:dyDescent="0.35"/>
    <row r="297" spans="1:8" ht="16.2" thickBot="1" x14ac:dyDescent="0.35">
      <c r="A297" s="278" t="s">
        <v>81</v>
      </c>
      <c r="B297" s="279"/>
      <c r="C297" s="279"/>
      <c r="D297" s="279"/>
      <c r="E297" s="279"/>
      <c r="F297" s="279"/>
      <c r="G297" s="279"/>
      <c r="H297" s="280"/>
    </row>
    <row r="298" spans="1:8" x14ac:dyDescent="0.3">
      <c r="A298" s="24" t="s">
        <v>477</v>
      </c>
      <c r="B298" s="25"/>
    </row>
    <row r="299" spans="1:8" x14ac:dyDescent="0.3">
      <c r="A299" s="24" t="s">
        <v>3</v>
      </c>
      <c r="B299" s="24">
        <v>0.2</v>
      </c>
    </row>
    <row r="300" spans="1:8" ht="31.2" x14ac:dyDescent="0.3">
      <c r="A300" s="24" t="s">
        <v>4</v>
      </c>
    </row>
    <row r="301" spans="1:8" ht="46.8" x14ac:dyDescent="0.3">
      <c r="A301" s="24" t="s">
        <v>454</v>
      </c>
      <c r="B301" s="24">
        <v>180</v>
      </c>
    </row>
    <row r="302" spans="1:8" ht="46.8" x14ac:dyDescent="0.3">
      <c r="A302" s="24" t="s">
        <v>44</v>
      </c>
      <c r="B302" s="154">
        <f>SQRT(B299*(1-B299)/B301)</f>
        <v>2.9814239699997198E-2</v>
      </c>
    </row>
    <row r="304" spans="1:8" x14ac:dyDescent="0.3">
      <c r="A304" s="146" t="s">
        <v>53</v>
      </c>
      <c r="B304" s="146" t="s">
        <v>54</v>
      </c>
      <c r="C304" s="146" t="s">
        <v>55</v>
      </c>
      <c r="D304" s="42" t="s">
        <v>56</v>
      </c>
    </row>
    <row r="305" spans="1:8" x14ac:dyDescent="0.3">
      <c r="A305" s="155">
        <f>B299</f>
        <v>0.2</v>
      </c>
      <c r="B305" s="155">
        <f>C305^2</f>
        <v>8.8888888888888904E-4</v>
      </c>
      <c r="C305" s="155">
        <f>B302</f>
        <v>2.9814239699997198E-2</v>
      </c>
      <c r="D305" s="24">
        <f>(0.15-A305)/B302</f>
        <v>-1.6770509831248428</v>
      </c>
    </row>
    <row r="306" spans="1:8" x14ac:dyDescent="0.3">
      <c r="D306" s="62">
        <f>NORMSDIST(D305)</f>
        <v>4.6766256344546495E-2</v>
      </c>
    </row>
    <row r="307" spans="1:8" ht="16.2" thickBot="1" x14ac:dyDescent="0.35"/>
    <row r="308" spans="1:8" ht="16.2" thickBot="1" x14ac:dyDescent="0.35">
      <c r="A308" s="278" t="s">
        <v>90</v>
      </c>
      <c r="B308" s="279"/>
      <c r="C308" s="279"/>
      <c r="D308" s="279"/>
      <c r="E308" s="279"/>
      <c r="F308" s="279"/>
      <c r="G308" s="279"/>
      <c r="H308" s="280"/>
    </row>
    <row r="309" spans="1:8" x14ac:dyDescent="0.3">
      <c r="A309" s="24" t="s">
        <v>477</v>
      </c>
      <c r="B309" s="25"/>
    </row>
    <row r="310" spans="1:8" x14ac:dyDescent="0.3">
      <c r="A310" s="24" t="s">
        <v>3</v>
      </c>
      <c r="B310" s="24">
        <v>0.3</v>
      </c>
    </row>
    <row r="311" spans="1:8" ht="31.2" x14ac:dyDescent="0.3">
      <c r="A311" s="24" t="s">
        <v>4</v>
      </c>
    </row>
    <row r="312" spans="1:8" ht="46.8" x14ac:dyDescent="0.3">
      <c r="A312" s="24" t="s">
        <v>454</v>
      </c>
      <c r="B312" s="24">
        <v>200</v>
      </c>
    </row>
    <row r="313" spans="1:8" ht="46.8" x14ac:dyDescent="0.3">
      <c r="A313" s="24" t="s">
        <v>44</v>
      </c>
      <c r="B313" s="154">
        <f>SQRT(B310*(1-B310)/B312)</f>
        <v>3.2403703492039297E-2</v>
      </c>
    </row>
    <row r="315" spans="1:8" x14ac:dyDescent="0.3">
      <c r="A315" s="42" t="s">
        <v>53</v>
      </c>
      <c r="B315" s="42" t="s">
        <v>54</v>
      </c>
      <c r="C315" s="42" t="s">
        <v>55</v>
      </c>
      <c r="D315" s="260" t="s">
        <v>56</v>
      </c>
      <c r="E315" s="260"/>
    </row>
    <row r="316" spans="1:8" x14ac:dyDescent="0.3">
      <c r="A316" s="156">
        <f>B313</f>
        <v>3.2403703492039297E-2</v>
      </c>
      <c r="B316" s="24">
        <f>(0.25-$B$310)/$B$313</f>
        <v>-1.543033499620919</v>
      </c>
      <c r="C316" s="24">
        <f>(0.33-$B$310)/$B$313</f>
        <v>0.92582009977255242</v>
      </c>
      <c r="D316" s="24" t="s">
        <v>481</v>
      </c>
      <c r="E316" s="24" t="s">
        <v>482</v>
      </c>
    </row>
    <row r="317" spans="1:8" x14ac:dyDescent="0.3">
      <c r="B317" s="62">
        <f>NORMSDIST(B316)</f>
        <v>6.1411324050696284E-2</v>
      </c>
      <c r="C317" s="62">
        <f>1-NORMSDIST(C316)</f>
        <v>0.17726973988675043</v>
      </c>
      <c r="D317" s="24">
        <f>(0.25-$B$310)/$B$313</f>
        <v>-1.543033499620919</v>
      </c>
      <c r="E317" s="24">
        <f>(0.33-$B$310)/$B$313</f>
        <v>0.92582009977255242</v>
      </c>
    </row>
    <row r="318" spans="1:8" x14ac:dyDescent="0.3">
      <c r="D318" s="24">
        <f>NORMSDIST(D317)</f>
        <v>6.1411324050696284E-2</v>
      </c>
      <c r="E318" s="24">
        <f>NORMSDIST(E317)</f>
        <v>0.82273026011324957</v>
      </c>
    </row>
    <row r="319" spans="1:8" x14ac:dyDescent="0.3">
      <c r="D319" s="24" t="s">
        <v>483</v>
      </c>
      <c r="E319" s="62">
        <f>E318-D318</f>
        <v>0.7613189360625533</v>
      </c>
    </row>
    <row r="320" spans="1:8" ht="16.2" thickBot="1" x14ac:dyDescent="0.35"/>
    <row r="321" spans="1:8" ht="16.2" thickBot="1" x14ac:dyDescent="0.35">
      <c r="A321" s="278" t="s">
        <v>100</v>
      </c>
      <c r="B321" s="279"/>
      <c r="C321" s="279"/>
      <c r="D321" s="279"/>
      <c r="E321" s="279"/>
      <c r="F321" s="279"/>
      <c r="G321" s="279"/>
      <c r="H321" s="280"/>
    </row>
    <row r="322" spans="1:8" x14ac:dyDescent="0.3">
      <c r="A322" s="24" t="s">
        <v>477</v>
      </c>
      <c r="B322" s="25"/>
    </row>
    <row r="323" spans="1:8" x14ac:dyDescent="0.3">
      <c r="A323" s="24" t="s">
        <v>3</v>
      </c>
      <c r="B323" s="24">
        <v>0.4</v>
      </c>
    </row>
    <row r="324" spans="1:8" ht="31.2" x14ac:dyDescent="0.3">
      <c r="A324" s="24" t="s">
        <v>4</v>
      </c>
    </row>
    <row r="325" spans="1:8" ht="46.8" x14ac:dyDescent="0.3">
      <c r="A325" s="24" t="s">
        <v>454</v>
      </c>
      <c r="B325" s="24">
        <v>120</v>
      </c>
    </row>
    <row r="326" spans="1:8" ht="46.8" x14ac:dyDescent="0.3">
      <c r="A326" s="24" t="s">
        <v>44</v>
      </c>
      <c r="B326" s="154">
        <f>SQRT(B323*(1-B323)/B325)</f>
        <v>4.4721359549995794E-2</v>
      </c>
    </row>
    <row r="328" spans="1:8" x14ac:dyDescent="0.3">
      <c r="A328" s="24" t="s">
        <v>484</v>
      </c>
      <c r="B328" s="24" t="s">
        <v>485</v>
      </c>
    </row>
    <row r="329" spans="1:8" x14ac:dyDescent="0.3">
      <c r="A329" s="24">
        <f>(0.35-$B$323)/$B$326</f>
        <v>-1.1180339887498958</v>
      </c>
      <c r="B329" s="24">
        <f>(0.45-$B$323)/$B$326</f>
        <v>1.1180339887498947</v>
      </c>
    </row>
    <row r="330" spans="1:8" x14ac:dyDescent="0.3">
      <c r="A330" s="24">
        <f>NORMSDIST(A329)</f>
        <v>0.13177623864148613</v>
      </c>
      <c r="B330" s="24">
        <f>NORMSDIST(B329)</f>
        <v>0.86822376135851365</v>
      </c>
    </row>
    <row r="331" spans="1:8" ht="31.2" x14ac:dyDescent="0.3">
      <c r="A331" s="24" t="s">
        <v>483</v>
      </c>
      <c r="B331" s="62">
        <f>B330-A330</f>
        <v>0.73644752271702751</v>
      </c>
    </row>
    <row r="332" spans="1:8" ht="16.2" thickBot="1" x14ac:dyDescent="0.35"/>
    <row r="333" spans="1:8" ht="16.2" thickBot="1" x14ac:dyDescent="0.35">
      <c r="A333" s="278" t="s">
        <v>208</v>
      </c>
      <c r="B333" s="279"/>
      <c r="C333" s="279"/>
      <c r="D333" s="279"/>
      <c r="E333" s="279"/>
      <c r="F333" s="279"/>
      <c r="G333" s="279"/>
      <c r="H333" s="280"/>
    </row>
    <row r="334" spans="1:8" x14ac:dyDescent="0.3">
      <c r="A334" s="24" t="s">
        <v>477</v>
      </c>
      <c r="B334" s="25"/>
    </row>
    <row r="335" spans="1:8" x14ac:dyDescent="0.3">
      <c r="A335" s="24" t="s">
        <v>3</v>
      </c>
      <c r="B335" s="24">
        <v>0.42</v>
      </c>
    </row>
    <row r="336" spans="1:8" ht="31.2" x14ac:dyDescent="0.3">
      <c r="A336" s="24" t="s">
        <v>4</v>
      </c>
    </row>
    <row r="337" spans="1:8" ht="46.8" x14ac:dyDescent="0.3">
      <c r="A337" s="24" t="s">
        <v>454</v>
      </c>
      <c r="B337" s="24">
        <v>300</v>
      </c>
    </row>
    <row r="338" spans="1:8" ht="46.8" x14ac:dyDescent="0.3">
      <c r="A338" s="24" t="s">
        <v>44</v>
      </c>
      <c r="B338" s="154">
        <f>SQRT(B335*(1-B335)/B337)</f>
        <v>2.8495613697550014E-2</v>
      </c>
    </row>
    <row r="340" spans="1:8" x14ac:dyDescent="0.3">
      <c r="A340" s="42" t="s">
        <v>53</v>
      </c>
      <c r="B340" s="42" t="s">
        <v>54</v>
      </c>
      <c r="C340" s="260" t="s">
        <v>55</v>
      </c>
      <c r="D340" s="260"/>
      <c r="E340" s="42" t="s">
        <v>56</v>
      </c>
    </row>
    <row r="341" spans="1:8" x14ac:dyDescent="0.3">
      <c r="A341" s="156">
        <f>B338</f>
        <v>2.8495613697550014E-2</v>
      </c>
      <c r="B341" s="24">
        <f>(0.5-$B$335)/$B$338</f>
        <v>2.8074496253743861</v>
      </c>
      <c r="C341" s="24" t="s">
        <v>486</v>
      </c>
      <c r="D341" s="24" t="s">
        <v>485</v>
      </c>
      <c r="E341" s="62" t="s">
        <v>488</v>
      </c>
    </row>
    <row r="342" spans="1:8" x14ac:dyDescent="0.3">
      <c r="B342" s="62">
        <f>1-NORMSDIST(B341)</f>
        <v>2.4967744609977194E-3</v>
      </c>
      <c r="C342" s="24">
        <f>(0.4-$B$335)/$B$338</f>
        <v>-0.70186240634359509</v>
      </c>
      <c r="D342" s="24">
        <f>(0.45-$B$335)/$B$338</f>
        <v>1.0527936095153956</v>
      </c>
    </row>
    <row r="343" spans="1:8" x14ac:dyDescent="0.3">
      <c r="C343" s="24">
        <f>NORMSDIST(C342)</f>
        <v>0.24138248776267884</v>
      </c>
      <c r="D343" s="24">
        <f>NORMSDIST(D342)</f>
        <v>0.85378220276573213</v>
      </c>
    </row>
    <row r="344" spans="1:8" ht="62.4" x14ac:dyDescent="0.3">
      <c r="C344" s="24" t="s">
        <v>487</v>
      </c>
      <c r="D344" s="62">
        <f>D343-C343</f>
        <v>0.61239971500305335</v>
      </c>
    </row>
    <row r="345" spans="1:8" ht="16.2" thickBot="1" x14ac:dyDescent="0.35"/>
    <row r="346" spans="1:8" ht="16.2" thickBot="1" x14ac:dyDescent="0.35">
      <c r="A346" s="278" t="s">
        <v>174</v>
      </c>
      <c r="B346" s="279"/>
      <c r="C346" s="279"/>
      <c r="D346" s="279"/>
      <c r="E346" s="279"/>
      <c r="F346" s="279"/>
      <c r="G346" s="279"/>
      <c r="H346" s="280"/>
    </row>
    <row r="347" spans="1:8" x14ac:dyDescent="0.3">
      <c r="A347" s="24" t="s">
        <v>477</v>
      </c>
      <c r="B347" s="25"/>
    </row>
    <row r="348" spans="1:8" x14ac:dyDescent="0.3">
      <c r="A348" s="24" t="s">
        <v>3</v>
      </c>
      <c r="B348" s="24">
        <v>0.2</v>
      </c>
    </row>
    <row r="349" spans="1:8" ht="31.2" x14ac:dyDescent="0.3">
      <c r="A349" s="24" t="s">
        <v>4</v>
      </c>
    </row>
    <row r="350" spans="1:8" ht="46.8" x14ac:dyDescent="0.3">
      <c r="A350" s="24" t="s">
        <v>454</v>
      </c>
      <c r="B350" s="24">
        <v>130</v>
      </c>
    </row>
    <row r="351" spans="1:8" ht="46.8" x14ac:dyDescent="0.3">
      <c r="A351" s="24" t="s">
        <v>44</v>
      </c>
      <c r="B351" s="154">
        <f>SQRT(B348*(1-B348)/B350)</f>
        <v>3.508232077228117E-2</v>
      </c>
    </row>
    <row r="353" spans="1:8" x14ac:dyDescent="0.3">
      <c r="A353" s="42" t="s">
        <v>53</v>
      </c>
      <c r="B353" s="42" t="s">
        <v>54</v>
      </c>
      <c r="C353" s="260" t="s">
        <v>55</v>
      </c>
      <c r="D353" s="260"/>
      <c r="E353" s="42" t="s">
        <v>56</v>
      </c>
    </row>
    <row r="354" spans="1:8" x14ac:dyDescent="0.3">
      <c r="A354" s="156">
        <f>B351</f>
        <v>3.508232077228117E-2</v>
      </c>
      <c r="B354" s="24">
        <f>(0.15-$B$348)/$B$351</f>
        <v>-1.4252192813739228</v>
      </c>
      <c r="C354" s="24" t="s">
        <v>489</v>
      </c>
      <c r="D354" s="24" t="s">
        <v>490</v>
      </c>
      <c r="E354" s="62" t="s">
        <v>491</v>
      </c>
    </row>
    <row r="355" spans="1:8" x14ac:dyDescent="0.3">
      <c r="B355" s="62">
        <f>1-NORMSDIST(B354)</f>
        <v>0.92295308777691898</v>
      </c>
      <c r="C355" s="24">
        <f>(0.18-$B$348)/$B$351</f>
        <v>-0.57008771254956947</v>
      </c>
      <c r="D355" s="24">
        <f>(0.22-$B$348)/$B$351</f>
        <v>0.57008771254956869</v>
      </c>
      <c r="E355" s="62" t="s">
        <v>491</v>
      </c>
    </row>
    <row r="356" spans="1:8" x14ac:dyDescent="0.3">
      <c r="C356" s="24">
        <f>NORMSDIST(C355)</f>
        <v>0.28430910433179701</v>
      </c>
      <c r="D356" s="24">
        <f>NORMSDIST(D355)</f>
        <v>0.71569089566820276</v>
      </c>
    </row>
    <row r="357" spans="1:8" ht="62.4" x14ac:dyDescent="0.3">
      <c r="C357" s="24" t="s">
        <v>487</v>
      </c>
      <c r="D357" s="62">
        <f>D356-C356</f>
        <v>0.43138179133640575</v>
      </c>
    </row>
    <row r="358" spans="1:8" ht="16.2" thickBot="1" x14ac:dyDescent="0.35"/>
    <row r="359" spans="1:8" ht="16.2" thickBot="1" x14ac:dyDescent="0.35">
      <c r="A359" s="278" t="s">
        <v>209</v>
      </c>
      <c r="B359" s="279"/>
      <c r="C359" s="279"/>
      <c r="D359" s="279"/>
      <c r="E359" s="279"/>
      <c r="F359" s="279"/>
      <c r="G359" s="279"/>
      <c r="H359" s="280"/>
    </row>
    <row r="360" spans="1:8" x14ac:dyDescent="0.3">
      <c r="A360" s="24" t="s">
        <v>477</v>
      </c>
      <c r="B360" s="25"/>
    </row>
    <row r="361" spans="1:8" x14ac:dyDescent="0.3">
      <c r="A361" s="24" t="s">
        <v>3</v>
      </c>
      <c r="B361" s="24">
        <v>0.3</v>
      </c>
    </row>
    <row r="362" spans="1:8" ht="31.2" x14ac:dyDescent="0.3">
      <c r="A362" s="24" t="s">
        <v>4</v>
      </c>
    </row>
    <row r="363" spans="1:8" ht="46.8" x14ac:dyDescent="0.3">
      <c r="A363" s="24" t="s">
        <v>454</v>
      </c>
      <c r="B363" s="24">
        <v>280</v>
      </c>
    </row>
    <row r="364" spans="1:8" ht="46.8" x14ac:dyDescent="0.3">
      <c r="A364" s="24" t="s">
        <v>44</v>
      </c>
      <c r="B364" s="154">
        <f>SQRT(B361*(1-B361)/B363)</f>
        <v>2.7386127875258306E-2</v>
      </c>
    </row>
    <row r="366" spans="1:8" x14ac:dyDescent="0.3">
      <c r="A366" s="42" t="s">
        <v>53</v>
      </c>
      <c r="B366" s="42" t="s">
        <v>54</v>
      </c>
      <c r="C366" s="42" t="s">
        <v>55</v>
      </c>
      <c r="D366" s="149" t="s">
        <v>56</v>
      </c>
      <c r="E366" s="256"/>
      <c r="F366" s="256"/>
    </row>
    <row r="367" spans="1:8" x14ac:dyDescent="0.3">
      <c r="A367" s="156">
        <f>B364</f>
        <v>2.7386127875258306E-2</v>
      </c>
      <c r="B367" s="24">
        <f>(0.25-$B$361)/$B$364</f>
        <v>-1.8257418583505534</v>
      </c>
      <c r="C367" s="24">
        <f>(0.32-$B$361)/$B$364</f>
        <v>0.7302967433402221</v>
      </c>
      <c r="D367" s="62" t="s">
        <v>492</v>
      </c>
    </row>
    <row r="368" spans="1:8" x14ac:dyDescent="0.3">
      <c r="B368" s="62">
        <f>1-NORMSDIST(B367)</f>
        <v>0.9660554225690855</v>
      </c>
      <c r="C368" s="62">
        <f>NORMSDIST(C367)</f>
        <v>0.76739559077392938</v>
      </c>
    </row>
    <row r="369" spans="1:38" ht="16.2" thickBot="1" x14ac:dyDescent="0.35"/>
    <row r="370" spans="1:38" ht="16.2" thickBot="1" x14ac:dyDescent="0.35">
      <c r="A370" s="278" t="s">
        <v>114</v>
      </c>
      <c r="B370" s="279"/>
      <c r="C370" s="279"/>
      <c r="D370" s="279"/>
      <c r="E370" s="279"/>
      <c r="F370" s="279"/>
      <c r="G370" s="279"/>
      <c r="H370" s="280"/>
    </row>
    <row r="371" spans="1:38" x14ac:dyDescent="0.3">
      <c r="A371" s="24" t="s">
        <v>477</v>
      </c>
      <c r="B371" s="25"/>
    </row>
    <row r="372" spans="1:38" x14ac:dyDescent="0.3">
      <c r="A372" s="24" t="s">
        <v>3</v>
      </c>
      <c r="B372" s="24">
        <v>0.5</v>
      </c>
      <c r="C372" s="24">
        <v>0.1</v>
      </c>
      <c r="D372" s="24">
        <v>0.2</v>
      </c>
      <c r="E372" s="24">
        <v>0.3</v>
      </c>
      <c r="F372" s="24">
        <v>0.4</v>
      </c>
      <c r="G372" s="24">
        <v>0.5</v>
      </c>
      <c r="H372" s="24">
        <v>0.6</v>
      </c>
      <c r="I372" s="24">
        <v>0.7</v>
      </c>
      <c r="J372" s="24">
        <v>0.8</v>
      </c>
      <c r="K372" s="24">
        <v>0.9</v>
      </c>
      <c r="L372" s="24">
        <v>1</v>
      </c>
    </row>
    <row r="373" spans="1:38" ht="31.2" x14ac:dyDescent="0.3">
      <c r="A373" s="24" t="s">
        <v>4</v>
      </c>
    </row>
    <row r="374" spans="1:38" ht="46.8" x14ac:dyDescent="0.3">
      <c r="A374" s="24" t="s">
        <v>454</v>
      </c>
      <c r="B374" s="24">
        <v>100</v>
      </c>
      <c r="C374" s="24">
        <v>100</v>
      </c>
      <c r="D374" s="24">
        <v>100</v>
      </c>
      <c r="E374" s="24">
        <v>100</v>
      </c>
      <c r="F374" s="24">
        <v>100</v>
      </c>
      <c r="G374" s="24">
        <v>100</v>
      </c>
      <c r="H374" s="24">
        <v>100</v>
      </c>
      <c r="I374" s="24">
        <v>100</v>
      </c>
      <c r="J374" s="24">
        <v>100</v>
      </c>
      <c r="K374" s="24">
        <v>100</v>
      </c>
      <c r="L374" s="24">
        <v>100</v>
      </c>
    </row>
    <row r="375" spans="1:38" ht="46.8" x14ac:dyDescent="0.3">
      <c r="A375" s="24" t="s">
        <v>44</v>
      </c>
      <c r="B375" s="154">
        <f>SQRT(B372*(1-B372)/B374)</f>
        <v>0.05</v>
      </c>
      <c r="C375" s="154">
        <f t="shared" ref="C375:L375" si="4">SQRT(C372*(1-C372)/C374)</f>
        <v>3.0000000000000002E-2</v>
      </c>
      <c r="D375" s="154">
        <f t="shared" si="4"/>
        <v>0.04</v>
      </c>
      <c r="E375" s="154">
        <f t="shared" si="4"/>
        <v>4.5825756949558399E-2</v>
      </c>
      <c r="F375" s="154">
        <f t="shared" si="4"/>
        <v>4.8989794855663557E-2</v>
      </c>
      <c r="G375" s="155">
        <f t="shared" si="4"/>
        <v>0.05</v>
      </c>
      <c r="H375" s="154">
        <f t="shared" si="4"/>
        <v>4.8989794855663557E-2</v>
      </c>
      <c r="I375" s="154">
        <f t="shared" si="4"/>
        <v>4.5825756949558406E-2</v>
      </c>
      <c r="J375" s="154">
        <f t="shared" si="4"/>
        <v>0.04</v>
      </c>
      <c r="K375" s="154">
        <f t="shared" si="4"/>
        <v>0.03</v>
      </c>
      <c r="L375" s="154">
        <f t="shared" si="4"/>
        <v>0</v>
      </c>
    </row>
    <row r="376" spans="1:38" ht="16.2" thickBot="1" x14ac:dyDescent="0.35"/>
    <row r="377" spans="1:38" ht="16.2" thickBot="1" x14ac:dyDescent="0.35">
      <c r="A377" s="278" t="s">
        <v>210</v>
      </c>
      <c r="B377" s="279"/>
      <c r="C377" s="279"/>
      <c r="D377" s="279"/>
      <c r="E377" s="279"/>
      <c r="F377" s="279"/>
      <c r="G377" s="279"/>
      <c r="H377" s="280"/>
    </row>
    <row r="378" spans="1:38" x14ac:dyDescent="0.3">
      <c r="A378" s="24" t="s">
        <v>477</v>
      </c>
      <c r="B378" s="25"/>
    </row>
    <row r="379" spans="1:38" x14ac:dyDescent="0.3">
      <c r="A379" s="24" t="s">
        <v>3</v>
      </c>
      <c r="B379" s="24">
        <v>0.5</v>
      </c>
    </row>
    <row r="380" spans="1:38" ht="31.2" x14ac:dyDescent="0.3">
      <c r="A380" s="24" t="s">
        <v>4</v>
      </c>
    </row>
    <row r="381" spans="1:38" ht="46.8" x14ac:dyDescent="0.3">
      <c r="A381" s="24" t="s">
        <v>454</v>
      </c>
      <c r="B381" s="24">
        <v>1000</v>
      </c>
      <c r="C381" s="24">
        <v>1010</v>
      </c>
      <c r="D381" s="24">
        <v>1020</v>
      </c>
      <c r="E381" s="24">
        <v>1030</v>
      </c>
      <c r="F381" s="24">
        <v>1040</v>
      </c>
      <c r="G381" s="24">
        <v>1050</v>
      </c>
      <c r="H381" s="24">
        <v>1060</v>
      </c>
      <c r="I381" s="62">
        <v>1068</v>
      </c>
      <c r="J381" s="24">
        <v>1080</v>
      </c>
      <c r="K381" s="24">
        <v>1090</v>
      </c>
      <c r="L381" s="24">
        <v>1100</v>
      </c>
      <c r="M381" s="24">
        <v>1110</v>
      </c>
      <c r="N381" s="24">
        <v>1120</v>
      </c>
      <c r="O381" s="24">
        <v>1130</v>
      </c>
      <c r="P381" s="24">
        <v>1140</v>
      </c>
      <c r="Q381" s="24">
        <v>1250</v>
      </c>
      <c r="R381" s="24">
        <v>1260</v>
      </c>
      <c r="S381" s="24">
        <v>1270</v>
      </c>
      <c r="T381" s="24">
        <v>1280</v>
      </c>
      <c r="U381" s="24">
        <v>1290</v>
      </c>
      <c r="V381" s="24">
        <v>1300</v>
      </c>
      <c r="W381" s="24">
        <v>1310</v>
      </c>
      <c r="X381" s="24">
        <v>1320</v>
      </c>
      <c r="Y381" s="24">
        <v>1330</v>
      </c>
      <c r="Z381" s="24">
        <v>1340</v>
      </c>
      <c r="AA381" s="24">
        <v>1350</v>
      </c>
      <c r="AB381" s="24">
        <v>1360</v>
      </c>
      <c r="AC381" s="24">
        <v>1370</v>
      </c>
      <c r="AD381" s="24">
        <v>1380</v>
      </c>
      <c r="AE381" s="24">
        <v>1390</v>
      </c>
      <c r="AF381" s="24">
        <v>1400</v>
      </c>
      <c r="AG381" s="24">
        <v>1410</v>
      </c>
      <c r="AH381" s="24">
        <v>1420</v>
      </c>
      <c r="AI381" s="24">
        <v>1430</v>
      </c>
      <c r="AJ381" s="24">
        <v>1440</v>
      </c>
      <c r="AK381" s="24">
        <v>1450</v>
      </c>
      <c r="AL381" s="24">
        <v>1460</v>
      </c>
    </row>
    <row r="382" spans="1:38" ht="46.8" x14ac:dyDescent="0.3">
      <c r="A382" s="24" t="s">
        <v>44</v>
      </c>
      <c r="B382" s="154">
        <f>SQRT($B$379*(1-$B$379)/B381)</f>
        <v>1.5811388300841896E-2</v>
      </c>
      <c r="C382" s="154">
        <f t="shared" ref="C382:Z382" si="5">SQRT($B$379*(1-$B$379)/C381)</f>
        <v>1.5732919388188816E-2</v>
      </c>
      <c r="D382" s="154">
        <f t="shared" si="5"/>
        <v>1.5655607277128739E-2</v>
      </c>
      <c r="E382" s="154">
        <f t="shared" si="5"/>
        <v>1.5579423821243896E-2</v>
      </c>
      <c r="F382" s="154">
        <f t="shared" si="5"/>
        <v>1.5504341823651057E-2</v>
      </c>
      <c r="G382" s="154">
        <f t="shared" si="5"/>
        <v>1.543033499620919E-2</v>
      </c>
      <c r="H382" s="154">
        <f t="shared" si="5"/>
        <v>1.5357377920848779E-2</v>
      </c>
      <c r="I382" s="154">
        <f t="shared" si="5"/>
        <v>1.5299751534052615E-2</v>
      </c>
      <c r="J382" s="154">
        <f t="shared" si="5"/>
        <v>1.5214515486254614E-2</v>
      </c>
      <c r="K382" s="154">
        <f t="shared" si="5"/>
        <v>1.5144563320384568E-2</v>
      </c>
      <c r="L382" s="154">
        <f t="shared" si="5"/>
        <v>1.5075567228888181E-2</v>
      </c>
      <c r="M382" s="154">
        <f t="shared" si="5"/>
        <v>1.5007505629691605E-2</v>
      </c>
      <c r="N382" s="154">
        <f t="shared" si="5"/>
        <v>1.494035761667992E-2</v>
      </c>
      <c r="O382" s="154">
        <f t="shared" si="5"/>
        <v>1.487410293271824E-2</v>
      </c>
      <c r="P382" s="154">
        <f t="shared" si="5"/>
        <v>1.480872194397731E-2</v>
      </c>
      <c r="Q382" s="154">
        <f t="shared" si="5"/>
        <v>1.4142135623730951E-2</v>
      </c>
      <c r="R382" s="154">
        <f t="shared" si="5"/>
        <v>1.4085904245475277E-2</v>
      </c>
      <c r="S382" s="154">
        <f t="shared" si="5"/>
        <v>1.4030338331657843E-2</v>
      </c>
      <c r="T382" s="154">
        <f t="shared" si="5"/>
        <v>1.3975424859373685E-2</v>
      </c>
      <c r="U382" s="154">
        <f t="shared" si="5"/>
        <v>1.3921151159742613E-2</v>
      </c>
      <c r="V382" s="154">
        <f t="shared" si="5"/>
        <v>1.3867504905630728E-2</v>
      </c>
      <c r="W382" s="154">
        <f t="shared" si="5"/>
        <v>1.3814474099888441E-2</v>
      </c>
      <c r="X382" s="154">
        <f t="shared" si="5"/>
        <v>1.3762047064079507E-2</v>
      </c>
      <c r="Y382" s="154">
        <f t="shared" si="5"/>
        <v>1.3710212427677044E-2</v>
      </c>
      <c r="Z382" s="154">
        <f t="shared" si="5"/>
        <v>1.3658959117703826E-2</v>
      </c>
    </row>
    <row r="383" spans="1:38" ht="31.2" x14ac:dyDescent="0.3">
      <c r="A383" s="24" t="s">
        <v>493</v>
      </c>
    </row>
    <row r="385" spans="1:32" x14ac:dyDescent="0.3">
      <c r="A385" s="24" t="s">
        <v>417</v>
      </c>
      <c r="B385" s="24">
        <f>(-0.03)/B$382</f>
        <v>-1.8973665961010278</v>
      </c>
      <c r="C385" s="24">
        <f t="shared" ref="C385:AF385" si="6">(-0.03)/C$382</f>
        <v>-1.9068298298484843</v>
      </c>
      <c r="D385" s="24">
        <f t="shared" si="6"/>
        <v>-1.9162463307205573</v>
      </c>
      <c r="E385" s="24">
        <f t="shared" si="6"/>
        <v>-1.9256167843057455</v>
      </c>
      <c r="F385" s="24">
        <f t="shared" si="6"/>
        <v>-1.9349418595916519</v>
      </c>
      <c r="G385" s="24">
        <f t="shared" si="6"/>
        <v>-1.944222209522358</v>
      </c>
      <c r="H385" s="24">
        <f t="shared" si="6"/>
        <v>-1.9534584715319647</v>
      </c>
      <c r="I385" s="24">
        <f t="shared" si="6"/>
        <v>-1.9608161566041828</v>
      </c>
      <c r="J385" s="24">
        <f t="shared" si="6"/>
        <v>-1.971801207018598</v>
      </c>
      <c r="K385" s="24">
        <f t="shared" si="6"/>
        <v>-1.9809088823063012</v>
      </c>
      <c r="L385" s="24">
        <f t="shared" si="6"/>
        <v>-1.9899748742132399</v>
      </c>
      <c r="M385" s="24">
        <f t="shared" si="6"/>
        <v>-1.9989997498749217</v>
      </c>
      <c r="N385" s="24">
        <f t="shared" si="6"/>
        <v>-2.0079840636817812</v>
      </c>
      <c r="O385" s="24">
        <f t="shared" si="6"/>
        <v>-2.0169283576765933</v>
      </c>
      <c r="P385" s="24">
        <f t="shared" si="6"/>
        <v>-2.0258331619360956</v>
      </c>
      <c r="Q385" s="24">
        <f t="shared" si="6"/>
        <v>-2.1213203435596424</v>
      </c>
      <c r="R385" s="24">
        <f t="shared" si="6"/>
        <v>-2.1297887219158618</v>
      </c>
      <c r="S385" s="24">
        <f t="shared" si="6"/>
        <v>-2.1382235617446552</v>
      </c>
      <c r="T385" s="24">
        <f t="shared" si="6"/>
        <v>-2.1466252583997982</v>
      </c>
      <c r="U385" s="24">
        <f t="shared" si="6"/>
        <v>-2.1549941995281565</v>
      </c>
      <c r="V385" s="24">
        <f t="shared" si="6"/>
        <v>-2.1633307652783937</v>
      </c>
      <c r="W385" s="24">
        <f t="shared" si="6"/>
        <v>-2.1716353285024628</v>
      </c>
      <c r="X385" s="24">
        <f t="shared" si="6"/>
        <v>-2.179908254950194</v>
      </c>
      <c r="Y385" s="24">
        <f t="shared" si="6"/>
        <v>-2.1881499034572562</v>
      </c>
      <c r="Z385" s="24">
        <f t="shared" si="6"/>
        <v>-2.1963606261267752</v>
      </c>
      <c r="AA385" s="24" t="e">
        <f t="shared" si="6"/>
        <v>#DIV/0!</v>
      </c>
      <c r="AB385" s="24" t="e">
        <f t="shared" si="6"/>
        <v>#DIV/0!</v>
      </c>
      <c r="AC385" s="24" t="e">
        <f t="shared" si="6"/>
        <v>#DIV/0!</v>
      </c>
      <c r="AD385" s="24" t="e">
        <f t="shared" si="6"/>
        <v>#DIV/0!</v>
      </c>
      <c r="AE385" s="24" t="e">
        <f t="shared" si="6"/>
        <v>#DIV/0!</v>
      </c>
      <c r="AF385" s="24" t="e">
        <f t="shared" si="6"/>
        <v>#DIV/0!</v>
      </c>
    </row>
    <row r="386" spans="1:32" x14ac:dyDescent="0.3">
      <c r="A386" s="24" t="s">
        <v>177</v>
      </c>
      <c r="B386" s="24">
        <f>NORMSDIST(B385)</f>
        <v>2.8889785561798591E-2</v>
      </c>
      <c r="C386" s="24">
        <f t="shared" ref="C386:AF386" si="7">NORMSDIST(C385)</f>
        <v>2.8271313594658721E-2</v>
      </c>
      <c r="D386" s="24">
        <f t="shared" si="7"/>
        <v>2.7666874327461875E-2</v>
      </c>
      <c r="E386" s="24">
        <f t="shared" si="7"/>
        <v>2.7076120694295058E-2</v>
      </c>
      <c r="F386" s="24">
        <f t="shared" si="7"/>
        <v>2.6498715345265347E-2</v>
      </c>
      <c r="G386" s="24">
        <f t="shared" si="7"/>
        <v>2.5934330325969181E-2</v>
      </c>
      <c r="H386" s="24">
        <f t="shared" si="7"/>
        <v>2.538264676977017E-2</v>
      </c>
      <c r="I386" s="24">
        <f t="shared" si="7"/>
        <v>2.4950236320130072E-2</v>
      </c>
      <c r="J386" s="24">
        <f t="shared" si="7"/>
        <v>2.4316152257345191E-2</v>
      </c>
      <c r="K386" s="24">
        <f t="shared" si="7"/>
        <v>2.3800746404322805E-2</v>
      </c>
      <c r="L386" s="24">
        <f t="shared" si="7"/>
        <v>2.3296851685565965E-2</v>
      </c>
      <c r="M386" s="24">
        <f t="shared" si="7"/>
        <v>2.2804190464186243E-2</v>
      </c>
      <c r="N386" s="24">
        <f t="shared" si="7"/>
        <v>2.2322492581293488E-2</v>
      </c>
      <c r="O386" s="24">
        <f t="shared" si="7"/>
        <v>2.1851495122386429E-2</v>
      </c>
      <c r="P386" s="24">
        <f t="shared" si="7"/>
        <v>2.1390942192463184E-2</v>
      </c>
      <c r="Q386" s="24">
        <f t="shared" si="7"/>
        <v>1.6947426762344633E-2</v>
      </c>
      <c r="R386" s="24">
        <f t="shared" si="7"/>
        <v>1.6594530106362963E-2</v>
      </c>
      <c r="S386" s="24">
        <f t="shared" si="7"/>
        <v>1.6249301473487594E-2</v>
      </c>
      <c r="T386" s="24">
        <f t="shared" si="7"/>
        <v>1.5911563693245079E-2</v>
      </c>
      <c r="U386" s="24">
        <f t="shared" si="7"/>
        <v>1.5581144063862106E-2</v>
      </c>
      <c r="V386" s="24">
        <f t="shared" si="7"/>
        <v>1.5257874225204585E-2</v>
      </c>
      <c r="W386" s="24">
        <f t="shared" si="7"/>
        <v>1.4941590035916646E-2</v>
      </c>
      <c r="X386" s="24">
        <f t="shared" si="7"/>
        <v>1.4632131454594809E-2</v>
      </c>
      <c r="Y386" s="24">
        <f t="shared" si="7"/>
        <v>1.4329342424841204E-2</v>
      </c>
      <c r="Z386" s="24">
        <f t="shared" si="7"/>
        <v>1.4033070764045768E-2</v>
      </c>
      <c r="AA386" s="24" t="e">
        <f t="shared" si="7"/>
        <v>#DIV/0!</v>
      </c>
      <c r="AB386" s="24" t="e">
        <f t="shared" si="7"/>
        <v>#DIV/0!</v>
      </c>
      <c r="AC386" s="24" t="e">
        <f t="shared" si="7"/>
        <v>#DIV/0!</v>
      </c>
      <c r="AD386" s="24" t="e">
        <f t="shared" si="7"/>
        <v>#DIV/0!</v>
      </c>
      <c r="AE386" s="24" t="e">
        <f t="shared" si="7"/>
        <v>#DIV/0!</v>
      </c>
      <c r="AF386" s="24" t="e">
        <f t="shared" si="7"/>
        <v>#DIV/0!</v>
      </c>
    </row>
    <row r="387" spans="1:32" ht="46.8" x14ac:dyDescent="0.3">
      <c r="A387" s="24" t="s">
        <v>494</v>
      </c>
      <c r="B387" s="24">
        <f>B386*2</f>
        <v>5.7779571123597183E-2</v>
      </c>
      <c r="C387" s="24">
        <f t="shared" ref="C387:AF387" si="8">C386*2</f>
        <v>5.6542627189317442E-2</v>
      </c>
      <c r="D387" s="24">
        <f t="shared" si="8"/>
        <v>5.5333748654923749E-2</v>
      </c>
      <c r="E387" s="24">
        <f t="shared" si="8"/>
        <v>5.4152241388590115E-2</v>
      </c>
      <c r="F387" s="24">
        <f t="shared" si="8"/>
        <v>5.2997430690530693E-2</v>
      </c>
      <c r="G387" s="24">
        <f t="shared" si="8"/>
        <v>5.1868660651938361E-2</v>
      </c>
      <c r="H387" s="24">
        <f t="shared" si="8"/>
        <v>5.0765293539540339E-2</v>
      </c>
      <c r="I387" s="24">
        <f t="shared" si="8"/>
        <v>4.9900472640260145E-2</v>
      </c>
      <c r="J387" s="24">
        <f t="shared" si="8"/>
        <v>4.8632304514690382E-2</v>
      </c>
      <c r="K387" s="24">
        <f t="shared" si="8"/>
        <v>4.7601492808645611E-2</v>
      </c>
      <c r="L387" s="24">
        <f t="shared" si="8"/>
        <v>4.6593703371131931E-2</v>
      </c>
      <c r="M387" s="24">
        <f t="shared" si="8"/>
        <v>4.5608380928372487E-2</v>
      </c>
      <c r="N387" s="24">
        <f t="shared" si="8"/>
        <v>4.4644985162586977E-2</v>
      </c>
      <c r="O387" s="24">
        <f t="shared" si="8"/>
        <v>4.3702990244772859E-2</v>
      </c>
      <c r="P387" s="24">
        <f t="shared" si="8"/>
        <v>4.2781884384926368E-2</v>
      </c>
      <c r="Q387" s="24">
        <f t="shared" si="8"/>
        <v>3.3894853524689267E-2</v>
      </c>
      <c r="R387" s="24">
        <f t="shared" si="8"/>
        <v>3.3189060212725927E-2</v>
      </c>
      <c r="S387" s="24">
        <f t="shared" si="8"/>
        <v>3.2498602946975187E-2</v>
      </c>
      <c r="T387" s="24">
        <f t="shared" si="8"/>
        <v>3.1823127386490159E-2</v>
      </c>
      <c r="U387" s="24">
        <f t="shared" si="8"/>
        <v>3.1162288127724213E-2</v>
      </c>
      <c r="V387" s="24">
        <f t="shared" si="8"/>
        <v>3.0515748450409171E-2</v>
      </c>
      <c r="W387" s="24">
        <f t="shared" si="8"/>
        <v>2.9883180071833292E-2</v>
      </c>
      <c r="X387" s="24">
        <f t="shared" si="8"/>
        <v>2.9264262909189619E-2</v>
      </c>
      <c r="Y387" s="24">
        <f t="shared" si="8"/>
        <v>2.8658684849682408E-2</v>
      </c>
      <c r="Z387" s="24">
        <f t="shared" si="8"/>
        <v>2.8066141528091535E-2</v>
      </c>
      <c r="AA387" s="24" t="e">
        <f t="shared" si="8"/>
        <v>#DIV/0!</v>
      </c>
      <c r="AB387" s="24" t="e">
        <f t="shared" si="8"/>
        <v>#DIV/0!</v>
      </c>
      <c r="AC387" s="24" t="e">
        <f t="shared" si="8"/>
        <v>#DIV/0!</v>
      </c>
      <c r="AD387" s="24" t="e">
        <f t="shared" si="8"/>
        <v>#DIV/0!</v>
      </c>
      <c r="AE387" s="24" t="e">
        <f t="shared" si="8"/>
        <v>#DIV/0!</v>
      </c>
      <c r="AF387" s="24" t="e">
        <f t="shared" si="8"/>
        <v>#DIV/0!</v>
      </c>
    </row>
    <row r="389" spans="1:32" x14ac:dyDescent="0.3">
      <c r="A389" s="24" t="s">
        <v>495</v>
      </c>
      <c r="B389" s="24">
        <f>NORMSINV(0.025)</f>
        <v>-1.9599639845400538</v>
      </c>
    </row>
    <row r="390" spans="1:32" x14ac:dyDescent="0.3">
      <c r="B390" s="24">
        <f>-0.03/B389</f>
        <v>1.530640370773962E-2</v>
      </c>
      <c r="C390" s="24">
        <f>B390*B390</f>
        <v>2.3428599446430519E-4</v>
      </c>
      <c r="D390" s="24">
        <f>0.25/C390</f>
        <v>1067.0718946372567</v>
      </c>
      <c r="E390" s="62">
        <v>1068</v>
      </c>
    </row>
    <row r="391" spans="1:32" ht="16.2" thickBot="1" x14ac:dyDescent="0.35"/>
    <row r="392" spans="1:32" ht="16.2" thickBot="1" x14ac:dyDescent="0.35">
      <c r="A392" s="278" t="s">
        <v>123</v>
      </c>
      <c r="B392" s="279"/>
      <c r="C392" s="279"/>
      <c r="D392" s="279"/>
      <c r="E392" s="279"/>
      <c r="F392" s="279"/>
      <c r="G392" s="279"/>
      <c r="H392" s="280"/>
    </row>
    <row r="393" spans="1:32" x14ac:dyDescent="0.3">
      <c r="A393" s="24" t="s">
        <v>477</v>
      </c>
      <c r="B393" s="25"/>
    </row>
    <row r="394" spans="1:32" x14ac:dyDescent="0.3">
      <c r="A394" s="24" t="s">
        <v>3</v>
      </c>
      <c r="B394" s="24">
        <v>0.25</v>
      </c>
    </row>
    <row r="395" spans="1:32" ht="31.2" x14ac:dyDescent="0.3">
      <c r="A395" s="24" t="s">
        <v>4</v>
      </c>
    </row>
    <row r="396" spans="1:32" ht="46.8" x14ac:dyDescent="0.3">
      <c r="A396" s="24" t="s">
        <v>454</v>
      </c>
      <c r="B396" s="24">
        <v>120</v>
      </c>
    </row>
    <row r="397" spans="1:32" ht="46.8" x14ac:dyDescent="0.3">
      <c r="A397" s="24" t="s">
        <v>44</v>
      </c>
      <c r="B397" s="154">
        <f>SQRT(B394*(1-B394)/B396)</f>
        <v>3.9528470752104743E-2</v>
      </c>
    </row>
    <row r="399" spans="1:32" x14ac:dyDescent="0.3">
      <c r="A399" s="42" t="s">
        <v>53</v>
      </c>
      <c r="B399" s="42" t="s">
        <v>54</v>
      </c>
      <c r="C399" s="149" t="s">
        <v>55</v>
      </c>
      <c r="D399" s="56"/>
    </row>
    <row r="400" spans="1:32" x14ac:dyDescent="0.3">
      <c r="A400" s="24">
        <f>NORMSINV(0.9)</f>
        <v>1.2815515655446006</v>
      </c>
      <c r="B400" s="24">
        <f>NORMSINV(0.05)</f>
        <v>-1.6448536269514726</v>
      </c>
      <c r="C400" s="24">
        <f>NORMSINV(0.15)</f>
        <v>-1.0364333894937898</v>
      </c>
    </row>
    <row r="401" spans="1:8" x14ac:dyDescent="0.3">
      <c r="A401" s="62">
        <f>A400*B397</f>
        <v>5.0657773575943789E-2</v>
      </c>
      <c r="B401" s="62">
        <f>B400*B397</f>
        <v>-6.5018548484444688E-2</v>
      </c>
      <c r="C401" s="62">
        <f>C400*B397</f>
        <v>-4.0968626923110055E-2</v>
      </c>
    </row>
    <row r="402" spans="1:8" ht="16.2" thickBot="1" x14ac:dyDescent="0.35"/>
    <row r="403" spans="1:8" ht="16.2" thickBot="1" x14ac:dyDescent="0.35">
      <c r="A403" s="278" t="s">
        <v>211</v>
      </c>
      <c r="B403" s="279"/>
      <c r="C403" s="279"/>
      <c r="D403" s="279"/>
      <c r="E403" s="279"/>
      <c r="F403" s="279"/>
      <c r="G403" s="279"/>
      <c r="H403" s="280"/>
    </row>
    <row r="404" spans="1:8" x14ac:dyDescent="0.3">
      <c r="A404" s="24" t="s">
        <v>477</v>
      </c>
      <c r="B404" s="25"/>
    </row>
    <row r="405" spans="1:8" x14ac:dyDescent="0.3">
      <c r="A405" s="24" t="s">
        <v>3</v>
      </c>
      <c r="B405" s="24">
        <v>0.5</v>
      </c>
    </row>
    <row r="406" spans="1:8" ht="31.2" x14ac:dyDescent="0.3">
      <c r="A406" s="24" t="s">
        <v>4</v>
      </c>
    </row>
    <row r="407" spans="1:8" ht="46.8" x14ac:dyDescent="0.3">
      <c r="A407" s="24" t="s">
        <v>454</v>
      </c>
      <c r="B407" s="24">
        <v>150</v>
      </c>
    </row>
    <row r="408" spans="1:8" ht="46.8" x14ac:dyDescent="0.3">
      <c r="A408" s="24" t="s">
        <v>44</v>
      </c>
      <c r="B408" s="154">
        <f>SQRT(B405*(1-B405)/B407)</f>
        <v>4.0824829046386304E-2</v>
      </c>
    </row>
    <row r="410" spans="1:8" x14ac:dyDescent="0.3">
      <c r="A410" s="24">
        <f>(0.56-B405)/B408</f>
        <v>1.469693845669908</v>
      </c>
    </row>
    <row r="411" spans="1:8" x14ac:dyDescent="0.3">
      <c r="A411" s="62">
        <f>1-NORMSDIST(A410)</f>
        <v>7.0822345147568244E-2</v>
      </c>
    </row>
    <row r="412" spans="1:8" ht="16.2" thickBot="1" x14ac:dyDescent="0.35"/>
    <row r="413" spans="1:8" ht="16.2" thickBot="1" x14ac:dyDescent="0.35">
      <c r="A413" s="278" t="s">
        <v>304</v>
      </c>
      <c r="B413" s="279"/>
      <c r="C413" s="279"/>
      <c r="D413" s="279"/>
      <c r="E413" s="279"/>
      <c r="F413" s="279"/>
      <c r="G413" s="279"/>
      <c r="H413" s="280"/>
    </row>
    <row r="414" spans="1:8" x14ac:dyDescent="0.3">
      <c r="A414" s="24" t="s">
        <v>477</v>
      </c>
      <c r="B414" s="25"/>
    </row>
    <row r="415" spans="1:8" x14ac:dyDescent="0.3">
      <c r="A415" s="24" t="s">
        <v>3</v>
      </c>
      <c r="B415" s="24">
        <v>0.5</v>
      </c>
    </row>
    <row r="416" spans="1:8" ht="31.2" x14ac:dyDescent="0.3">
      <c r="A416" s="24" t="s">
        <v>4</v>
      </c>
    </row>
    <row r="417" spans="1:8" ht="46.8" x14ac:dyDescent="0.3">
      <c r="A417" s="24" t="s">
        <v>454</v>
      </c>
      <c r="B417" s="24">
        <v>250</v>
      </c>
    </row>
    <row r="418" spans="1:8" ht="46.8" x14ac:dyDescent="0.3">
      <c r="A418" s="24" t="s">
        <v>44</v>
      </c>
      <c r="B418" s="154">
        <f>SQRT(B415*(1-B415)/B417)</f>
        <v>3.1622776601683791E-2</v>
      </c>
    </row>
    <row r="420" spans="1:8" x14ac:dyDescent="0.3">
      <c r="A420" s="24">
        <f>(0.58-B415)/B418</f>
        <v>2.5298221281347022</v>
      </c>
    </row>
    <row r="421" spans="1:8" x14ac:dyDescent="0.3">
      <c r="A421" s="62">
        <f>1-NORMSDIST(A420)</f>
        <v>5.7060181930008724E-3</v>
      </c>
    </row>
    <row r="422" spans="1:8" ht="16.2" thickBot="1" x14ac:dyDescent="0.35"/>
    <row r="423" spans="1:8" ht="16.2" thickBot="1" x14ac:dyDescent="0.35">
      <c r="A423" s="278" t="s">
        <v>305</v>
      </c>
      <c r="B423" s="279"/>
      <c r="C423" s="279"/>
      <c r="D423" s="279"/>
      <c r="E423" s="279"/>
      <c r="F423" s="279"/>
      <c r="G423" s="279"/>
      <c r="H423" s="280"/>
    </row>
    <row r="424" spans="1:8" x14ac:dyDescent="0.3">
      <c r="A424" s="24" t="s">
        <v>477</v>
      </c>
      <c r="B424" s="25"/>
    </row>
    <row r="425" spans="1:8" x14ac:dyDescent="0.3">
      <c r="A425" s="24" t="s">
        <v>3</v>
      </c>
      <c r="B425" s="24">
        <v>0.55000000000000004</v>
      </c>
    </row>
    <row r="426" spans="1:8" ht="31.2" x14ac:dyDescent="0.3">
      <c r="A426" s="24" t="s">
        <v>4</v>
      </c>
    </row>
    <row r="427" spans="1:8" ht="46.8" x14ac:dyDescent="0.3">
      <c r="A427" s="24" t="s">
        <v>454</v>
      </c>
      <c r="B427" s="24">
        <v>81</v>
      </c>
    </row>
    <row r="428" spans="1:8" ht="46.8" x14ac:dyDescent="0.3">
      <c r="A428" s="24" t="s">
        <v>44</v>
      </c>
      <c r="B428" s="154">
        <f>SQRT(B425*(1-B425)/B427)</f>
        <v>5.5277079839256664E-2</v>
      </c>
    </row>
    <row r="430" spans="1:8" x14ac:dyDescent="0.3">
      <c r="A430" s="24">
        <f>(0.5-B425)/B428</f>
        <v>-0.90453403373329166</v>
      </c>
    </row>
    <row r="431" spans="1:8" x14ac:dyDescent="0.3">
      <c r="A431" s="62">
        <f>1-NORMSDIST(A430)</f>
        <v>0.81714385185924354</v>
      </c>
    </row>
    <row r="432" spans="1:8" ht="16.2" thickBot="1" x14ac:dyDescent="0.35"/>
    <row r="433" spans="1:8" ht="16.2" thickBot="1" x14ac:dyDescent="0.35">
      <c r="A433" s="278" t="s">
        <v>126</v>
      </c>
      <c r="B433" s="279"/>
      <c r="C433" s="279"/>
      <c r="D433" s="279"/>
      <c r="E433" s="279"/>
      <c r="F433" s="279"/>
      <c r="G433" s="279"/>
      <c r="H433" s="280"/>
    </row>
    <row r="434" spans="1:8" x14ac:dyDescent="0.3">
      <c r="A434" s="24" t="s">
        <v>477</v>
      </c>
      <c r="B434" s="25"/>
    </row>
    <row r="435" spans="1:8" x14ac:dyDescent="0.3">
      <c r="A435" s="24" t="s">
        <v>3</v>
      </c>
      <c r="B435" s="24">
        <f>211/528</f>
        <v>0.3996212121212121</v>
      </c>
    </row>
    <row r="436" spans="1:8" ht="31.2" x14ac:dyDescent="0.3">
      <c r="A436" s="24" t="s">
        <v>4</v>
      </c>
    </row>
    <row r="437" spans="1:8" ht="46.8" x14ac:dyDescent="0.3">
      <c r="A437" s="24" t="s">
        <v>454</v>
      </c>
      <c r="B437" s="24">
        <v>120</v>
      </c>
    </row>
    <row r="438" spans="1:8" ht="46.8" x14ac:dyDescent="0.3">
      <c r="A438" s="24" t="s">
        <v>44</v>
      </c>
      <c r="B438" s="154">
        <f>SQRT((B435*(1-B435)/B437))*SQRT((528-B437)/(528-1))</f>
        <v>3.9343327420819918E-2</v>
      </c>
    </row>
    <row r="439" spans="1:8" x14ac:dyDescent="0.3">
      <c r="B439" s="154"/>
    </row>
    <row r="440" spans="1:8" x14ac:dyDescent="0.3">
      <c r="A440" s="42" t="s">
        <v>53</v>
      </c>
      <c r="B440" s="42" t="s">
        <v>54</v>
      </c>
      <c r="C440" s="260" t="s">
        <v>55</v>
      </c>
      <c r="D440" s="260"/>
    </row>
    <row r="441" spans="1:8" x14ac:dyDescent="0.3">
      <c r="A441" s="156">
        <f>B438</f>
        <v>3.9343327420819918E-2</v>
      </c>
      <c r="B441" s="24">
        <f>(0.33-$B$435)/$B$438</f>
        <v>-1.7695811891184767</v>
      </c>
      <c r="C441" s="24" t="s">
        <v>486</v>
      </c>
      <c r="D441" s="24" t="s">
        <v>496</v>
      </c>
    </row>
    <row r="442" spans="1:8" x14ac:dyDescent="0.3">
      <c r="B442" s="62">
        <f>NORMSDIST(B441)</f>
        <v>3.8398467387429587E-2</v>
      </c>
      <c r="C442" s="24">
        <f>(0.4-$B$435)/$B$438</f>
        <v>9.6277540213203679E-3</v>
      </c>
      <c r="D442" s="24">
        <f>(0.5-$B$435)/$B$438</f>
        <v>2.5513548156496011</v>
      </c>
    </row>
    <row r="443" spans="1:8" x14ac:dyDescent="0.3">
      <c r="C443" s="24">
        <f>NORMSDIST(C442)</f>
        <v>0.50384085880711593</v>
      </c>
      <c r="D443" s="24">
        <f>NORMSDIST(D442)</f>
        <v>0.99463474894239257</v>
      </c>
    </row>
    <row r="444" spans="1:8" x14ac:dyDescent="0.3">
      <c r="D444" s="62">
        <f>D443-C443</f>
        <v>0.49079389013527663</v>
      </c>
    </row>
    <row r="445" spans="1:8" ht="16.2" thickBot="1" x14ac:dyDescent="0.35"/>
    <row r="446" spans="1:8" ht="16.2" thickBot="1" x14ac:dyDescent="0.35">
      <c r="A446" s="278" t="s">
        <v>306</v>
      </c>
      <c r="B446" s="279"/>
      <c r="C446" s="279"/>
      <c r="D446" s="279"/>
      <c r="E446" s="279"/>
      <c r="F446" s="279"/>
      <c r="G446" s="279"/>
      <c r="H446" s="280"/>
    </row>
    <row r="447" spans="1:8" x14ac:dyDescent="0.3">
      <c r="A447" s="24" t="s">
        <v>477</v>
      </c>
      <c r="B447" s="25"/>
    </row>
    <row r="448" spans="1:8" x14ac:dyDescent="0.3">
      <c r="A448" s="24" t="s">
        <v>3</v>
      </c>
      <c r="B448" s="24">
        <f>239/438</f>
        <v>0.545662100456621</v>
      </c>
    </row>
    <row r="449" spans="1:8" ht="31.2" x14ac:dyDescent="0.3">
      <c r="A449" s="24" t="s">
        <v>4</v>
      </c>
    </row>
    <row r="450" spans="1:8" ht="46.8" x14ac:dyDescent="0.3">
      <c r="A450" s="24" t="s">
        <v>454</v>
      </c>
      <c r="B450" s="24">
        <v>80</v>
      </c>
    </row>
    <row r="451" spans="1:8" ht="46.8" x14ac:dyDescent="0.3">
      <c r="A451" s="24" t="s">
        <v>44</v>
      </c>
      <c r="B451" s="154">
        <f>SQRT(B448*(1-B448)/B450)</f>
        <v>5.5668098200617723E-2</v>
      </c>
    </row>
    <row r="452" spans="1:8" x14ac:dyDescent="0.3">
      <c r="B452" s="154"/>
    </row>
    <row r="453" spans="1:8" x14ac:dyDescent="0.3">
      <c r="A453" s="42" t="s">
        <v>53</v>
      </c>
      <c r="B453" s="42" t="s">
        <v>54</v>
      </c>
      <c r="C453" s="260" t="s">
        <v>55</v>
      </c>
      <c r="D453" s="260"/>
    </row>
    <row r="454" spans="1:8" x14ac:dyDescent="0.3">
      <c r="A454" s="156">
        <f>B451</f>
        <v>5.5668098200617723E-2</v>
      </c>
      <c r="B454" s="24">
        <f>(B448-0.5)/B451</f>
        <v>0.82025615985771738</v>
      </c>
      <c r="C454" s="24" t="s">
        <v>496</v>
      </c>
      <c r="D454" s="24" t="s">
        <v>497</v>
      </c>
    </row>
    <row r="455" spans="1:8" x14ac:dyDescent="0.3">
      <c r="B455" s="62">
        <f>NORMSDIST(B454)</f>
        <v>0.7939649536185337</v>
      </c>
      <c r="C455" s="24">
        <f>(0.5-$B$448)/$B$451</f>
        <v>-0.82025615985771738</v>
      </c>
      <c r="D455" s="24">
        <f>(0.6-$B$448)/$B$451</f>
        <v>0.9761048302306834</v>
      </c>
    </row>
    <row r="456" spans="1:8" x14ac:dyDescent="0.3">
      <c r="C456" s="24">
        <f>NORMSDIST(C455)</f>
        <v>0.2060350463814663</v>
      </c>
      <c r="D456" s="24">
        <f>NORMSDIST(D455)</f>
        <v>0.83549374101398555</v>
      </c>
    </row>
    <row r="457" spans="1:8" x14ac:dyDescent="0.3">
      <c r="D457" s="62">
        <f>D456-C456</f>
        <v>0.62945869463251924</v>
      </c>
    </row>
    <row r="458" spans="1:8" ht="16.2" thickBot="1" x14ac:dyDescent="0.35"/>
    <row r="459" spans="1:8" ht="16.2" thickBot="1" x14ac:dyDescent="0.35">
      <c r="A459" s="278" t="s">
        <v>143</v>
      </c>
      <c r="B459" s="279"/>
      <c r="C459" s="279"/>
      <c r="D459" s="279"/>
      <c r="E459" s="279"/>
      <c r="F459" s="279"/>
      <c r="G459" s="279"/>
      <c r="H459" s="280"/>
    </row>
    <row r="460" spans="1:8" x14ac:dyDescent="0.3">
      <c r="A460" s="24" t="s">
        <v>477</v>
      </c>
      <c r="B460" s="248" t="s">
        <v>413</v>
      </c>
      <c r="C460" s="248"/>
    </row>
    <row r="461" spans="1:8" x14ac:dyDescent="0.3">
      <c r="A461" s="24" t="s">
        <v>3</v>
      </c>
      <c r="B461" s="256"/>
      <c r="C461" s="256"/>
    </row>
    <row r="462" spans="1:8" ht="31.2" x14ac:dyDescent="0.3">
      <c r="A462" s="24" t="s">
        <v>4</v>
      </c>
      <c r="B462" s="256"/>
      <c r="C462" s="256"/>
    </row>
    <row r="463" spans="1:8" ht="46.8" x14ac:dyDescent="0.3">
      <c r="A463" s="24" t="s">
        <v>454</v>
      </c>
      <c r="B463" s="256"/>
      <c r="C463" s="256"/>
    </row>
    <row r="464" spans="1:8" ht="46.8" x14ac:dyDescent="0.3">
      <c r="A464" s="24" t="s">
        <v>44</v>
      </c>
      <c r="B464" s="256"/>
      <c r="C464" s="256"/>
    </row>
    <row r="465" spans="1:8" x14ac:dyDescent="0.3">
      <c r="B465" s="256"/>
      <c r="C465" s="256"/>
    </row>
    <row r="466" spans="1:8" x14ac:dyDescent="0.3">
      <c r="A466" s="24" t="e">
        <f>(0.1-B460)/B464</f>
        <v>#VALUE!</v>
      </c>
      <c r="B466" s="256"/>
      <c r="C466" s="256"/>
    </row>
    <row r="467" spans="1:8" x14ac:dyDescent="0.3">
      <c r="A467" s="24" t="e">
        <f>NORMSDIST(A466)</f>
        <v>#VALUE!</v>
      </c>
      <c r="B467" s="256"/>
      <c r="C467" s="256"/>
    </row>
    <row r="468" spans="1:8" x14ac:dyDescent="0.3">
      <c r="A468" s="62" t="e">
        <f>A467*2</f>
        <v>#VALUE!</v>
      </c>
      <c r="B468" s="256"/>
      <c r="C468" s="256"/>
    </row>
    <row r="469" spans="1:8" ht="16.2" thickBot="1" x14ac:dyDescent="0.35">
      <c r="B469" s="256"/>
      <c r="C469" s="256"/>
    </row>
    <row r="470" spans="1:8" ht="16.2" thickBot="1" x14ac:dyDescent="0.35">
      <c r="A470" s="278" t="s">
        <v>308</v>
      </c>
      <c r="B470" s="279"/>
      <c r="C470" s="279"/>
      <c r="D470" s="279"/>
      <c r="E470" s="279"/>
      <c r="F470" s="279"/>
      <c r="G470" s="279"/>
      <c r="H470" s="280"/>
    </row>
    <row r="471" spans="1:8" ht="31.2" x14ac:dyDescent="0.3">
      <c r="A471" s="24" t="s">
        <v>30</v>
      </c>
      <c r="B471" s="24">
        <v>1.75</v>
      </c>
    </row>
    <row r="472" spans="1:8" ht="46.8" x14ac:dyDescent="0.3">
      <c r="A472" s="24" t="s">
        <v>31</v>
      </c>
    </row>
    <row r="473" spans="1:8" ht="31.2" x14ac:dyDescent="0.3">
      <c r="A473" s="24" t="s">
        <v>498</v>
      </c>
      <c r="B473" s="24">
        <v>20</v>
      </c>
    </row>
    <row r="474" spans="1:8" ht="31.2" x14ac:dyDescent="0.3">
      <c r="A474" s="24" t="s">
        <v>43</v>
      </c>
    </row>
    <row r="475" spans="1:8" ht="46.8" x14ac:dyDescent="0.3">
      <c r="A475" s="24" t="s">
        <v>44</v>
      </c>
    </row>
    <row r="476" spans="1:8" ht="31.2" x14ac:dyDescent="0.3">
      <c r="A476" s="24" t="s">
        <v>502</v>
      </c>
      <c r="B476" s="24">
        <f>B473-1</f>
        <v>19</v>
      </c>
    </row>
    <row r="477" spans="1:8" x14ac:dyDescent="0.3">
      <c r="A477" s="24" t="s">
        <v>499</v>
      </c>
      <c r="B477" s="24">
        <f>(B476)*3.1/B471</f>
        <v>33.657142857142858</v>
      </c>
    </row>
    <row r="478" spans="1:8" x14ac:dyDescent="0.3">
      <c r="A478" s="24" t="s">
        <v>500</v>
      </c>
      <c r="B478" s="24">
        <f>B477/(B476)</f>
        <v>1.7714285714285716</v>
      </c>
    </row>
    <row r="479" spans="1:8" ht="18.600000000000001" x14ac:dyDescent="0.3">
      <c r="A479" s="24" t="s">
        <v>501</v>
      </c>
      <c r="B479" s="62">
        <f>CHIDIST(B478,B476)</f>
        <v>0.99999987461270723</v>
      </c>
    </row>
    <row r="480" spans="1:8" ht="16.2" thickBot="1" x14ac:dyDescent="0.35"/>
    <row r="481" spans="1:8" ht="16.2" thickBot="1" x14ac:dyDescent="0.35">
      <c r="A481" s="278" t="s">
        <v>156</v>
      </c>
      <c r="B481" s="279"/>
      <c r="C481" s="279"/>
      <c r="D481" s="279"/>
      <c r="E481" s="279"/>
      <c r="F481" s="279"/>
      <c r="G481" s="279"/>
      <c r="H481" s="280"/>
    </row>
    <row r="482" spans="1:8" x14ac:dyDescent="0.3">
      <c r="A482" s="25"/>
      <c r="B482" s="25" t="s">
        <v>53</v>
      </c>
      <c r="C482" s="25" t="s">
        <v>54</v>
      </c>
      <c r="D482" s="25"/>
      <c r="E482" s="25"/>
      <c r="F482" s="25"/>
      <c r="G482" s="25"/>
      <c r="H482" s="25"/>
    </row>
    <row r="483" spans="1:8" ht="31.2" x14ac:dyDescent="0.3">
      <c r="A483" s="24" t="s">
        <v>30</v>
      </c>
      <c r="B483" s="24">
        <f>B484*B484</f>
        <v>2.8899999999999997</v>
      </c>
      <c r="C483" s="24">
        <f>C484*C484</f>
        <v>2.8899999999999997</v>
      </c>
    </row>
    <row r="484" spans="1:8" ht="46.8" x14ac:dyDescent="0.3">
      <c r="A484" s="24" t="s">
        <v>31</v>
      </c>
      <c r="B484" s="24">
        <v>1.7</v>
      </c>
      <c r="C484" s="24">
        <v>1.7</v>
      </c>
    </row>
    <row r="485" spans="1:8" ht="31.2" x14ac:dyDescent="0.3">
      <c r="A485" s="24" t="s">
        <v>498</v>
      </c>
      <c r="B485" s="24">
        <v>12</v>
      </c>
      <c r="C485" s="24">
        <v>12</v>
      </c>
    </row>
    <row r="486" spans="1:8" ht="31.2" x14ac:dyDescent="0.3">
      <c r="A486" s="24" t="s">
        <v>43</v>
      </c>
      <c r="B486" s="24">
        <f>B487*B487</f>
        <v>6.25</v>
      </c>
      <c r="C486" s="24">
        <f>C487*C487</f>
        <v>1</v>
      </c>
    </row>
    <row r="487" spans="1:8" ht="46.8" x14ac:dyDescent="0.3">
      <c r="A487" s="24" t="s">
        <v>44</v>
      </c>
      <c r="B487" s="24">
        <v>2.5</v>
      </c>
      <c r="C487" s="24">
        <v>1</v>
      </c>
    </row>
    <row r="488" spans="1:8" ht="31.2" x14ac:dyDescent="0.3">
      <c r="A488" s="24" t="s">
        <v>502</v>
      </c>
      <c r="B488" s="24">
        <f>B485-1</f>
        <v>11</v>
      </c>
      <c r="C488" s="24">
        <f>C485-1</f>
        <v>11</v>
      </c>
    </row>
    <row r="489" spans="1:8" x14ac:dyDescent="0.3">
      <c r="B489" s="24">
        <f>(B488)*B486/B483</f>
        <v>23.788927335640143</v>
      </c>
      <c r="C489" s="24">
        <f>(C488)*1/C483</f>
        <v>3.8062283737024227</v>
      </c>
    </row>
    <row r="490" spans="1:8" ht="18.600000000000001" x14ac:dyDescent="0.3">
      <c r="A490" s="24" t="s">
        <v>503</v>
      </c>
      <c r="B490" s="62">
        <f>1-CHIDIST(B489,B488)</f>
        <v>0.98634697610984345</v>
      </c>
    </row>
    <row r="491" spans="1:8" ht="18.600000000000001" x14ac:dyDescent="0.3">
      <c r="A491" s="24" t="s">
        <v>504</v>
      </c>
      <c r="C491" s="62">
        <f>CHIDIST(C489,C488)</f>
        <v>0.97524616913249784</v>
      </c>
    </row>
    <row r="492" spans="1:8" ht="16.2" thickBot="1" x14ac:dyDescent="0.35"/>
    <row r="493" spans="1:8" ht="16.2" thickBot="1" x14ac:dyDescent="0.35">
      <c r="A493" s="278" t="s">
        <v>314</v>
      </c>
      <c r="B493" s="279"/>
      <c r="C493" s="279"/>
      <c r="D493" s="279"/>
      <c r="E493" s="279"/>
      <c r="F493" s="279"/>
      <c r="G493" s="279"/>
      <c r="H493" s="280"/>
    </row>
    <row r="494" spans="1:8" x14ac:dyDescent="0.3">
      <c r="A494" s="25"/>
      <c r="B494" s="25" t="s">
        <v>53</v>
      </c>
      <c r="C494" s="25" t="s">
        <v>54</v>
      </c>
    </row>
    <row r="495" spans="1:8" ht="31.2" x14ac:dyDescent="0.3">
      <c r="A495" s="24" t="s">
        <v>30</v>
      </c>
      <c r="B495" s="24">
        <f>B496*B496</f>
        <v>6250000</v>
      </c>
      <c r="C495" s="24">
        <f>C496*C496</f>
        <v>6250000</v>
      </c>
    </row>
    <row r="496" spans="1:8" ht="46.8" x14ac:dyDescent="0.3">
      <c r="A496" s="24" t="s">
        <v>31</v>
      </c>
      <c r="B496" s="24">
        <v>2500</v>
      </c>
      <c r="C496" s="24">
        <v>2500</v>
      </c>
    </row>
    <row r="497" spans="1:8" ht="31.2" x14ac:dyDescent="0.3">
      <c r="A497" s="24" t="s">
        <v>498</v>
      </c>
      <c r="B497" s="24">
        <v>16</v>
      </c>
      <c r="C497" s="24">
        <v>16</v>
      </c>
    </row>
    <row r="498" spans="1:8" ht="31.2" x14ac:dyDescent="0.3">
      <c r="A498" s="24" t="s">
        <v>43</v>
      </c>
      <c r="B498" s="24">
        <f>B499*B499</f>
        <v>9000000</v>
      </c>
      <c r="C498" s="24">
        <f>C499*C499</f>
        <v>2250000</v>
      </c>
    </row>
    <row r="499" spans="1:8" ht="46.8" x14ac:dyDescent="0.3">
      <c r="A499" s="24" t="s">
        <v>44</v>
      </c>
      <c r="B499" s="24">
        <v>3000</v>
      </c>
      <c r="C499" s="24">
        <v>1500</v>
      </c>
    </row>
    <row r="500" spans="1:8" ht="31.2" x14ac:dyDescent="0.3">
      <c r="A500" s="24" t="s">
        <v>502</v>
      </c>
      <c r="B500" s="24">
        <f>B497-1</f>
        <v>15</v>
      </c>
      <c r="C500" s="24">
        <f>C497-1</f>
        <v>15</v>
      </c>
    </row>
    <row r="501" spans="1:8" x14ac:dyDescent="0.3">
      <c r="B501" s="24">
        <f>(B500)*B498/B495</f>
        <v>21.6</v>
      </c>
      <c r="C501" s="24">
        <f>(C500)*C498/C495</f>
        <v>5.4</v>
      </c>
    </row>
    <row r="502" spans="1:8" ht="18.600000000000001" x14ac:dyDescent="0.3">
      <c r="A502" s="24" t="s">
        <v>505</v>
      </c>
      <c r="B502" s="62">
        <f>CHIDIST(B501,B500)</f>
        <v>0.11872932216423214</v>
      </c>
    </row>
    <row r="503" spans="1:8" ht="18.600000000000001" x14ac:dyDescent="0.3">
      <c r="A503" s="24" t="s">
        <v>506</v>
      </c>
      <c r="C503" s="62">
        <f>1-CHIDIST(C501,C500)</f>
        <v>1.1836271806162979E-2</v>
      </c>
    </row>
    <row r="504" spans="1:8" ht="16.2" thickBot="1" x14ac:dyDescent="0.35"/>
    <row r="505" spans="1:8" ht="16.2" thickBot="1" x14ac:dyDescent="0.35">
      <c r="A505" s="278" t="s">
        <v>163</v>
      </c>
      <c r="B505" s="279"/>
      <c r="C505" s="279"/>
      <c r="D505" s="279"/>
      <c r="E505" s="279"/>
      <c r="F505" s="279"/>
      <c r="G505" s="279"/>
      <c r="H505" s="280"/>
    </row>
    <row r="506" spans="1:8" x14ac:dyDescent="0.3">
      <c r="A506" s="25"/>
      <c r="B506" s="25" t="s">
        <v>53</v>
      </c>
      <c r="C506" s="25" t="s">
        <v>54</v>
      </c>
    </row>
    <row r="507" spans="1:8" ht="31.2" x14ac:dyDescent="0.3">
      <c r="A507" s="24" t="s">
        <v>30</v>
      </c>
      <c r="B507" s="24">
        <v>250</v>
      </c>
      <c r="C507" s="24">
        <v>250</v>
      </c>
    </row>
    <row r="508" spans="1:8" ht="46.8" x14ac:dyDescent="0.3">
      <c r="A508" s="24" t="s">
        <v>31</v>
      </c>
      <c r="B508" s="24">
        <f>SQRT(B507)</f>
        <v>15.811388300841896</v>
      </c>
      <c r="C508" s="24">
        <f>SQRT(C507)</f>
        <v>15.811388300841896</v>
      </c>
    </row>
    <row r="509" spans="1:8" ht="31.2" x14ac:dyDescent="0.3">
      <c r="A509" s="24" t="s">
        <v>498</v>
      </c>
      <c r="B509" s="24">
        <v>20</v>
      </c>
      <c r="C509" s="24">
        <v>20</v>
      </c>
    </row>
    <row r="510" spans="1:8" ht="31.2" x14ac:dyDescent="0.3">
      <c r="A510" s="24" t="s">
        <v>43</v>
      </c>
      <c r="B510" s="24">
        <v>100</v>
      </c>
      <c r="C510" s="24">
        <v>500</v>
      </c>
    </row>
    <row r="511" spans="1:8" ht="46.8" x14ac:dyDescent="0.3">
      <c r="A511" s="24" t="s">
        <v>44</v>
      </c>
      <c r="B511" s="24">
        <f>SQRT(B510)</f>
        <v>10</v>
      </c>
      <c r="C511" s="24">
        <f>SQRT(C510)</f>
        <v>22.360679774997898</v>
      </c>
    </row>
    <row r="512" spans="1:8" ht="31.2" x14ac:dyDescent="0.3">
      <c r="A512" s="24" t="s">
        <v>502</v>
      </c>
      <c r="B512" s="24">
        <f>B509-1</f>
        <v>19</v>
      </c>
      <c r="C512" s="24">
        <f>C509-1</f>
        <v>19</v>
      </c>
    </row>
    <row r="513" spans="1:8" x14ac:dyDescent="0.3">
      <c r="B513" s="24">
        <f>(B512)*B510/B507</f>
        <v>7.6</v>
      </c>
      <c r="C513" s="24">
        <f>(C512)*C510/C507</f>
        <v>38</v>
      </c>
    </row>
    <row r="514" spans="1:8" ht="18.600000000000001" x14ac:dyDescent="0.3">
      <c r="A514" s="24" t="s">
        <v>507</v>
      </c>
      <c r="B514" s="62">
        <f>1-CHIDIST(B513,B512)</f>
        <v>9.7372570605929187E-3</v>
      </c>
    </row>
    <row r="515" spans="1:8" ht="18.600000000000001" x14ac:dyDescent="0.3">
      <c r="A515" s="24" t="s">
        <v>508</v>
      </c>
      <c r="C515" s="62">
        <f>CHIDIST(C513,C512)</f>
        <v>5.9347090072011206E-3</v>
      </c>
    </row>
    <row r="516" spans="1:8" ht="16.2" thickBot="1" x14ac:dyDescent="0.35"/>
    <row r="517" spans="1:8" ht="16.2" thickBot="1" x14ac:dyDescent="0.35">
      <c r="A517" s="278" t="s">
        <v>322</v>
      </c>
      <c r="B517" s="279"/>
      <c r="C517" s="279"/>
      <c r="D517" s="279"/>
      <c r="E517" s="279"/>
      <c r="F517" s="279"/>
      <c r="G517" s="279"/>
      <c r="H517" s="280"/>
    </row>
    <row r="518" spans="1:8" x14ac:dyDescent="0.3">
      <c r="A518" s="25"/>
      <c r="B518" s="25" t="s">
        <v>53</v>
      </c>
      <c r="C518" s="25" t="s">
        <v>54</v>
      </c>
    </row>
    <row r="519" spans="1:8" ht="31.2" x14ac:dyDescent="0.3">
      <c r="A519" s="24" t="s">
        <v>30</v>
      </c>
      <c r="B519" s="24">
        <f>B520*B520</f>
        <v>10000</v>
      </c>
      <c r="C519" s="24">
        <f>C520*C520</f>
        <v>10000</v>
      </c>
    </row>
    <row r="520" spans="1:8" ht="46.8" x14ac:dyDescent="0.3">
      <c r="A520" s="24" t="s">
        <v>31</v>
      </c>
      <c r="B520" s="24">
        <v>100</v>
      </c>
      <c r="C520" s="24">
        <v>100</v>
      </c>
    </row>
    <row r="521" spans="1:8" ht="31.2" x14ac:dyDescent="0.3">
      <c r="A521" s="24" t="s">
        <v>498</v>
      </c>
      <c r="B521" s="24">
        <v>25</v>
      </c>
      <c r="C521" s="24">
        <v>25</v>
      </c>
    </row>
    <row r="522" spans="1:8" ht="31.2" x14ac:dyDescent="0.3">
      <c r="A522" s="24" t="s">
        <v>43</v>
      </c>
      <c r="B522" s="24">
        <f>B523*B523</f>
        <v>5625</v>
      </c>
      <c r="C522" s="24">
        <f>C523*C523</f>
        <v>22500</v>
      </c>
    </row>
    <row r="523" spans="1:8" ht="46.8" x14ac:dyDescent="0.3">
      <c r="A523" s="24" t="s">
        <v>44</v>
      </c>
      <c r="B523" s="24">
        <v>75</v>
      </c>
      <c r="C523" s="24">
        <v>150</v>
      </c>
    </row>
    <row r="524" spans="1:8" ht="31.2" x14ac:dyDescent="0.3">
      <c r="A524" s="24" t="s">
        <v>502</v>
      </c>
      <c r="B524" s="24">
        <f>B521-1</f>
        <v>24</v>
      </c>
      <c r="C524" s="24">
        <f>C521-1</f>
        <v>24</v>
      </c>
    </row>
    <row r="525" spans="1:8" x14ac:dyDescent="0.3">
      <c r="B525" s="24">
        <f>(B524)*B522/B519</f>
        <v>13.5</v>
      </c>
      <c r="C525" s="24">
        <f>(C524)*C522/C519</f>
        <v>54</v>
      </c>
    </row>
    <row r="526" spans="1:8" ht="18.600000000000001" x14ac:dyDescent="0.3">
      <c r="A526" s="24" t="s">
        <v>512</v>
      </c>
      <c r="B526" s="62">
        <f>1-CHIDIST(B525,B524)</f>
        <v>4.2850493350583552E-2</v>
      </c>
    </row>
    <row r="527" spans="1:8" ht="18.600000000000001" x14ac:dyDescent="0.3">
      <c r="A527" s="24" t="s">
        <v>513</v>
      </c>
      <c r="C527" s="62">
        <f>CHIDIST(C525,C524)</f>
        <v>4.2624332117600997E-4</v>
      </c>
    </row>
    <row r="528" spans="1:8" ht="16.2" thickBot="1" x14ac:dyDescent="0.35"/>
    <row r="529" spans="1:8" ht="16.2" thickBot="1" x14ac:dyDescent="0.35">
      <c r="A529" s="278" t="s">
        <v>330</v>
      </c>
      <c r="B529" s="279"/>
      <c r="C529" s="279"/>
      <c r="D529" s="279"/>
      <c r="E529" s="279"/>
      <c r="F529" s="279"/>
      <c r="G529" s="279"/>
      <c r="H529" s="280"/>
    </row>
    <row r="530" spans="1:8" x14ac:dyDescent="0.3">
      <c r="A530" s="25"/>
      <c r="B530" s="25" t="s">
        <v>53</v>
      </c>
      <c r="C530" s="25" t="s">
        <v>54</v>
      </c>
    </row>
    <row r="531" spans="1:8" ht="31.2" x14ac:dyDescent="0.3">
      <c r="A531" s="24" t="s">
        <v>30</v>
      </c>
      <c r="B531" s="24">
        <f>B532*B532</f>
        <v>20.25</v>
      </c>
      <c r="C531" s="24">
        <f>C532*C532</f>
        <v>20.25</v>
      </c>
    </row>
    <row r="532" spans="1:8" ht="46.8" x14ac:dyDescent="0.3">
      <c r="A532" s="24" t="s">
        <v>31</v>
      </c>
      <c r="B532" s="24">
        <v>4.5</v>
      </c>
      <c r="C532" s="24">
        <v>4.5</v>
      </c>
    </row>
    <row r="533" spans="1:8" ht="31.2" x14ac:dyDescent="0.3">
      <c r="A533" s="24" t="s">
        <v>498</v>
      </c>
      <c r="B533" s="24">
        <v>30</v>
      </c>
      <c r="C533" s="24">
        <v>30</v>
      </c>
    </row>
    <row r="534" spans="1:8" ht="31.2" x14ac:dyDescent="0.3">
      <c r="A534" s="24" t="s">
        <v>43</v>
      </c>
      <c r="B534" s="24">
        <f>B535*B535</f>
        <v>12.25</v>
      </c>
      <c r="C534" s="24">
        <f>C535*C535</f>
        <v>36</v>
      </c>
    </row>
    <row r="535" spans="1:8" ht="46.8" x14ac:dyDescent="0.3">
      <c r="A535" s="24" t="s">
        <v>44</v>
      </c>
      <c r="B535" s="24">
        <v>3.5</v>
      </c>
      <c r="C535" s="24">
        <v>6</v>
      </c>
    </row>
    <row r="536" spans="1:8" ht="31.2" x14ac:dyDescent="0.3">
      <c r="A536" s="24" t="s">
        <v>502</v>
      </c>
      <c r="B536" s="24">
        <f>B533-1</f>
        <v>29</v>
      </c>
      <c r="C536" s="24">
        <f>C533-1</f>
        <v>29</v>
      </c>
    </row>
    <row r="537" spans="1:8" x14ac:dyDescent="0.3">
      <c r="B537" s="24">
        <f>(B536)*B534/B531</f>
        <v>17.543209876543209</v>
      </c>
      <c r="C537" s="24">
        <f>(C536)*C534/C531</f>
        <v>51.555555555555557</v>
      </c>
    </row>
    <row r="538" spans="1:8" ht="18.600000000000001" x14ac:dyDescent="0.3">
      <c r="A538" s="24" t="s">
        <v>509</v>
      </c>
      <c r="B538" s="62">
        <f>CHIDIST(B537,B536)</f>
        <v>0.95305576702517936</v>
      </c>
    </row>
    <row r="539" spans="1:8" ht="18.600000000000001" x14ac:dyDescent="0.3">
      <c r="A539" s="24" t="s">
        <v>510</v>
      </c>
      <c r="C539" s="157">
        <f>1-CHIDIST(C537,C536)</f>
        <v>0.99389242717075676</v>
      </c>
    </row>
    <row r="540" spans="1:8" x14ac:dyDescent="0.3">
      <c r="B540" s="62" t="s">
        <v>511</v>
      </c>
      <c r="C540" s="62" t="s">
        <v>511</v>
      </c>
    </row>
    <row r="541" spans="1:8" ht="16.2" thickBot="1" x14ac:dyDescent="0.35"/>
    <row r="542" spans="1:8" ht="16.2" thickBot="1" x14ac:dyDescent="0.35">
      <c r="A542" s="278" t="s">
        <v>331</v>
      </c>
      <c r="B542" s="279"/>
      <c r="C542" s="279"/>
      <c r="D542" s="279"/>
      <c r="E542" s="279"/>
      <c r="F542" s="279"/>
      <c r="G542" s="279"/>
      <c r="H542" s="280"/>
    </row>
    <row r="543" spans="1:8" ht="31.2" x14ac:dyDescent="0.3">
      <c r="A543" s="24" t="s">
        <v>456</v>
      </c>
      <c r="B543" s="24" t="s">
        <v>458</v>
      </c>
      <c r="D543" s="24" t="s">
        <v>43</v>
      </c>
    </row>
    <row r="544" spans="1:8" x14ac:dyDescent="0.3">
      <c r="A544" s="24">
        <v>2</v>
      </c>
      <c r="B544" s="256">
        <f>AVERAGE(A544:A547)</f>
        <v>4.5</v>
      </c>
      <c r="C544" s="24">
        <f>(A544-$B$544)^2</f>
        <v>6.25</v>
      </c>
      <c r="D544" s="256">
        <f>SUM(C544:C547/4)</f>
        <v>1.5625</v>
      </c>
    </row>
    <row r="545" spans="1:4" x14ac:dyDescent="0.3">
      <c r="A545" s="24">
        <v>4</v>
      </c>
      <c r="B545" s="256"/>
      <c r="C545" s="24">
        <f>(A545-$B$544)^2</f>
        <v>0.25</v>
      </c>
      <c r="D545" s="256"/>
    </row>
    <row r="546" spans="1:4" x14ac:dyDescent="0.3">
      <c r="A546" s="24">
        <v>6</v>
      </c>
      <c r="B546" s="256"/>
      <c r="C546" s="24">
        <f>(A546-$B$544)^2</f>
        <v>2.25</v>
      </c>
      <c r="D546" s="256"/>
    </row>
    <row r="547" spans="1:4" x14ac:dyDescent="0.3">
      <c r="A547" s="24">
        <v>6</v>
      </c>
      <c r="B547" s="256"/>
      <c r="C547" s="24">
        <f>(A547-$B$544)^2</f>
        <v>2.25</v>
      </c>
      <c r="D547" s="256"/>
    </row>
    <row r="548" spans="1:4" x14ac:dyDescent="0.3">
      <c r="A548" s="24">
        <v>2</v>
      </c>
      <c r="B548" s="256">
        <f>AVERAGE(A548:A551)</f>
        <v>4.75</v>
      </c>
      <c r="C548" s="24">
        <f>(A548-$B$548)^2</f>
        <v>7.5625</v>
      </c>
      <c r="D548" s="256">
        <f>SUM(C548:C551/4)</f>
        <v>1.890625</v>
      </c>
    </row>
    <row r="549" spans="1:4" x14ac:dyDescent="0.3">
      <c r="A549" s="24">
        <v>4</v>
      </c>
      <c r="B549" s="256"/>
      <c r="C549" s="24">
        <f>(A549-$B$548)^2</f>
        <v>0.5625</v>
      </c>
      <c r="D549" s="256"/>
    </row>
    <row r="550" spans="1:4" x14ac:dyDescent="0.3">
      <c r="A550" s="24">
        <v>6</v>
      </c>
      <c r="B550" s="256"/>
      <c r="C550" s="24">
        <f>(A550-$B$548)^2</f>
        <v>1.5625</v>
      </c>
      <c r="D550" s="256"/>
    </row>
    <row r="551" spans="1:4" x14ac:dyDescent="0.3">
      <c r="A551" s="24">
        <v>7</v>
      </c>
      <c r="B551" s="256"/>
      <c r="C551" s="24">
        <f>(A551-$B$548)^2</f>
        <v>5.0625</v>
      </c>
      <c r="D551" s="256"/>
    </row>
    <row r="552" spans="1:4" x14ac:dyDescent="0.3">
      <c r="A552" s="24">
        <v>2</v>
      </c>
      <c r="B552" s="256">
        <f>AVERAGE(A552:A555)</f>
        <v>5</v>
      </c>
      <c r="C552" s="24">
        <f>(A552-$B$552)^2</f>
        <v>9</v>
      </c>
      <c r="D552" s="256">
        <f>SUM(C552:C555/4)</f>
        <v>2.25</v>
      </c>
    </row>
    <row r="553" spans="1:4" x14ac:dyDescent="0.3">
      <c r="A553" s="24">
        <v>4</v>
      </c>
      <c r="B553" s="256"/>
      <c r="C553" s="24">
        <f>(A553-$B$552)^2</f>
        <v>1</v>
      </c>
      <c r="D553" s="256"/>
    </row>
    <row r="554" spans="1:4" x14ac:dyDescent="0.3">
      <c r="A554" s="24">
        <v>6</v>
      </c>
      <c r="B554" s="256"/>
      <c r="C554" s="24">
        <f>(A554-$B$552)^2</f>
        <v>1</v>
      </c>
      <c r="D554" s="256"/>
    </row>
    <row r="555" spans="1:4" x14ac:dyDescent="0.3">
      <c r="A555" s="24">
        <v>8</v>
      </c>
      <c r="B555" s="256"/>
      <c r="C555" s="24">
        <f>(A555-$B$552)^2</f>
        <v>9</v>
      </c>
      <c r="D555" s="256"/>
    </row>
    <row r="556" spans="1:4" x14ac:dyDescent="0.3">
      <c r="A556" s="24">
        <v>2</v>
      </c>
      <c r="B556" s="256">
        <f>AVERAGE(A556:A559)</f>
        <v>5.25</v>
      </c>
      <c r="C556" s="24">
        <f>(A556-$B$556)^2</f>
        <v>10.5625</v>
      </c>
      <c r="D556" s="256">
        <f>SUM(C556:C559/4)</f>
        <v>2.640625</v>
      </c>
    </row>
    <row r="557" spans="1:4" x14ac:dyDescent="0.3">
      <c r="A557" s="24">
        <v>4</v>
      </c>
      <c r="B557" s="256"/>
      <c r="C557" s="24">
        <f>(A557-$B$556)^2</f>
        <v>1.5625</v>
      </c>
      <c r="D557" s="256"/>
    </row>
    <row r="558" spans="1:4" x14ac:dyDescent="0.3">
      <c r="A558" s="24">
        <v>7</v>
      </c>
      <c r="B558" s="256"/>
      <c r="C558" s="24">
        <f>(A558-$B$556)^2</f>
        <v>3.0625</v>
      </c>
      <c r="D558" s="256"/>
    </row>
    <row r="559" spans="1:4" x14ac:dyDescent="0.3">
      <c r="A559" s="24">
        <v>8</v>
      </c>
      <c r="B559" s="256"/>
      <c r="C559" s="24">
        <f>(A559-$B$556)^2</f>
        <v>7.5625</v>
      </c>
      <c r="D559" s="256"/>
    </row>
    <row r="560" spans="1:4" x14ac:dyDescent="0.3">
      <c r="A560" s="24">
        <v>2</v>
      </c>
      <c r="B560" s="256">
        <f>AVERAGE(A560:A563)</f>
        <v>5.25</v>
      </c>
      <c r="C560" s="24">
        <f>(A560-$B$560)^2</f>
        <v>10.5625</v>
      </c>
      <c r="D560" s="256">
        <f>SUM(C560:C563/4)</f>
        <v>2.640625</v>
      </c>
    </row>
    <row r="561" spans="1:4" x14ac:dyDescent="0.3">
      <c r="A561" s="24">
        <v>6</v>
      </c>
      <c r="B561" s="256"/>
      <c r="C561" s="24">
        <f>(A561-$B$560)^2</f>
        <v>0.5625</v>
      </c>
      <c r="D561" s="256"/>
    </row>
    <row r="562" spans="1:4" x14ac:dyDescent="0.3">
      <c r="A562" s="24">
        <v>6</v>
      </c>
      <c r="B562" s="256"/>
      <c r="C562" s="24">
        <f>(A562-$B$560)^2</f>
        <v>0.5625</v>
      </c>
      <c r="D562" s="256"/>
    </row>
    <row r="563" spans="1:4" x14ac:dyDescent="0.3">
      <c r="A563" s="24">
        <v>7</v>
      </c>
      <c r="B563" s="256"/>
      <c r="C563" s="24">
        <f>(A563-$B$560)^2</f>
        <v>3.0625</v>
      </c>
      <c r="D563" s="256"/>
    </row>
    <row r="564" spans="1:4" x14ac:dyDescent="0.3">
      <c r="A564" s="24">
        <v>2</v>
      </c>
      <c r="B564" s="256">
        <f>AVERAGE(A564:A567)</f>
        <v>5.5</v>
      </c>
      <c r="C564" s="24">
        <f>(A564-$B$564)^2</f>
        <v>12.25</v>
      </c>
      <c r="D564" s="256">
        <f>SUM(C564:C567/4)</f>
        <v>3.0625</v>
      </c>
    </row>
    <row r="565" spans="1:4" x14ac:dyDescent="0.3">
      <c r="A565" s="24">
        <v>6</v>
      </c>
      <c r="B565" s="256"/>
      <c r="C565" s="24">
        <f>(A565-$B$564)^2</f>
        <v>0.25</v>
      </c>
      <c r="D565" s="256"/>
    </row>
    <row r="566" spans="1:4" x14ac:dyDescent="0.3">
      <c r="A566" s="24">
        <v>6</v>
      </c>
      <c r="B566" s="256"/>
      <c r="C566" s="24">
        <f>(A566-$B$564)^2</f>
        <v>0.25</v>
      </c>
      <c r="D566" s="256"/>
    </row>
    <row r="567" spans="1:4" x14ac:dyDescent="0.3">
      <c r="A567" s="24">
        <v>8</v>
      </c>
      <c r="B567" s="256"/>
      <c r="C567" s="24">
        <f>(A567-$B$564)^2</f>
        <v>6.25</v>
      </c>
      <c r="D567" s="256"/>
    </row>
    <row r="568" spans="1:4" x14ac:dyDescent="0.3">
      <c r="A568" s="24">
        <v>2</v>
      </c>
      <c r="B568" s="256">
        <f>AVERAGE(A568:A571)</f>
        <v>5.75</v>
      </c>
      <c r="C568" s="24">
        <f>(A568-$B$568)^2</f>
        <v>14.0625</v>
      </c>
      <c r="D568" s="256">
        <f>SUM(C568:C571/4)</f>
        <v>3.515625</v>
      </c>
    </row>
    <row r="569" spans="1:4" x14ac:dyDescent="0.3">
      <c r="A569" s="24">
        <v>6</v>
      </c>
      <c r="B569" s="256"/>
      <c r="C569" s="24">
        <f>(A569-$B$568)^2</f>
        <v>6.25E-2</v>
      </c>
      <c r="D569" s="256"/>
    </row>
    <row r="570" spans="1:4" x14ac:dyDescent="0.3">
      <c r="A570" s="24">
        <v>7</v>
      </c>
      <c r="B570" s="256"/>
      <c r="C570" s="24">
        <f>(A570-$B$568)^2</f>
        <v>1.5625</v>
      </c>
      <c r="D570" s="256"/>
    </row>
    <row r="571" spans="1:4" x14ac:dyDescent="0.3">
      <c r="A571" s="24">
        <v>8</v>
      </c>
      <c r="B571" s="256"/>
      <c r="C571" s="24">
        <f>(A571-$B$568)^2</f>
        <v>5.0625</v>
      </c>
      <c r="D571" s="256"/>
    </row>
    <row r="572" spans="1:4" x14ac:dyDescent="0.3">
      <c r="A572" s="24">
        <v>4</v>
      </c>
      <c r="B572" s="256">
        <f>AVERAGE(A572:A575)</f>
        <v>5.75</v>
      </c>
      <c r="C572" s="24">
        <f>(A572-$B$572)^2</f>
        <v>3.0625</v>
      </c>
      <c r="D572" s="256">
        <f>SUM(C572:C575/4)</f>
        <v>0.765625</v>
      </c>
    </row>
    <row r="573" spans="1:4" x14ac:dyDescent="0.3">
      <c r="A573" s="24">
        <v>6</v>
      </c>
      <c r="B573" s="256"/>
      <c r="C573" s="24">
        <f>(A573-$B$572)^2</f>
        <v>6.25E-2</v>
      </c>
      <c r="D573" s="256"/>
    </row>
    <row r="574" spans="1:4" x14ac:dyDescent="0.3">
      <c r="A574" s="24">
        <v>6</v>
      </c>
      <c r="B574" s="256"/>
      <c r="C574" s="24">
        <f>(A574-$B$572)^2</f>
        <v>6.25E-2</v>
      </c>
      <c r="D574" s="256"/>
    </row>
    <row r="575" spans="1:4" x14ac:dyDescent="0.3">
      <c r="A575" s="24">
        <v>7</v>
      </c>
      <c r="B575" s="256"/>
      <c r="C575" s="24">
        <f>(A575-$B$572)^2</f>
        <v>1.5625</v>
      </c>
      <c r="D575" s="256"/>
    </row>
    <row r="576" spans="1:4" x14ac:dyDescent="0.3">
      <c r="A576" s="24">
        <v>4</v>
      </c>
      <c r="B576" s="256">
        <f>AVERAGE(A576:A579)</f>
        <v>6</v>
      </c>
      <c r="C576" s="24">
        <f>(A576-$B$576)^2</f>
        <v>4</v>
      </c>
      <c r="D576" s="256">
        <f>SUM(C576:C579/4)</f>
        <v>1</v>
      </c>
    </row>
    <row r="577" spans="1:8" x14ac:dyDescent="0.3">
      <c r="A577" s="24">
        <v>6</v>
      </c>
      <c r="B577" s="256"/>
      <c r="C577" s="24">
        <f>(A577-$B$576)^2</f>
        <v>0</v>
      </c>
      <c r="D577" s="256"/>
    </row>
    <row r="578" spans="1:8" x14ac:dyDescent="0.3">
      <c r="A578" s="24">
        <v>6</v>
      </c>
      <c r="B578" s="256"/>
      <c r="C578" s="24">
        <f>(A578-$B$576)^2</f>
        <v>0</v>
      </c>
      <c r="D578" s="256"/>
    </row>
    <row r="579" spans="1:8" x14ac:dyDescent="0.3">
      <c r="A579" s="24">
        <v>8</v>
      </c>
      <c r="B579" s="256"/>
      <c r="C579" s="24">
        <f>(A579-$B$576)^2</f>
        <v>4</v>
      </c>
      <c r="D579" s="256"/>
    </row>
    <row r="580" spans="1:8" x14ac:dyDescent="0.3">
      <c r="A580" s="24">
        <v>4</v>
      </c>
      <c r="B580" s="256">
        <f>AVERAGE(A580:A583)</f>
        <v>6.25</v>
      </c>
      <c r="C580" s="24">
        <f>(A580-$B$580)^2</f>
        <v>5.0625</v>
      </c>
      <c r="D580" s="256">
        <f>SUM(C580:C583/4)</f>
        <v>1.265625</v>
      </c>
    </row>
    <row r="581" spans="1:8" x14ac:dyDescent="0.3">
      <c r="A581" s="24">
        <v>6</v>
      </c>
      <c r="B581" s="256"/>
      <c r="C581" s="24">
        <f>(A581-$B$580)^2</f>
        <v>6.25E-2</v>
      </c>
      <c r="D581" s="256"/>
    </row>
    <row r="582" spans="1:8" x14ac:dyDescent="0.3">
      <c r="A582" s="24">
        <v>7</v>
      </c>
      <c r="B582" s="256"/>
      <c r="C582" s="24">
        <f>(A582-$B$580)^2</f>
        <v>0.5625</v>
      </c>
      <c r="D582" s="256"/>
    </row>
    <row r="583" spans="1:8" x14ac:dyDescent="0.3">
      <c r="A583" s="24">
        <v>8</v>
      </c>
      <c r="B583" s="256"/>
      <c r="C583" s="24">
        <f>(A583-$B$580)^2</f>
        <v>3.0625</v>
      </c>
      <c r="D583" s="256"/>
    </row>
    <row r="584" spans="1:8" x14ac:dyDescent="0.3">
      <c r="A584" s="24">
        <v>6</v>
      </c>
      <c r="B584" s="256">
        <f>AVERAGE(A584:A587)</f>
        <v>6.75</v>
      </c>
      <c r="C584" s="24">
        <f>(A584-$B$584)^2</f>
        <v>0.5625</v>
      </c>
      <c r="D584" s="256">
        <f>SUM(C584:C587/4)</f>
        <v>0.140625</v>
      </c>
    </row>
    <row r="585" spans="1:8" x14ac:dyDescent="0.3">
      <c r="A585" s="24">
        <v>6</v>
      </c>
      <c r="B585" s="256"/>
      <c r="C585" s="24">
        <f>(A585-$B$584)^2</f>
        <v>0.5625</v>
      </c>
      <c r="D585" s="256"/>
    </row>
    <row r="586" spans="1:8" x14ac:dyDescent="0.3">
      <c r="A586" s="24">
        <v>7</v>
      </c>
      <c r="B586" s="256"/>
      <c r="C586" s="24">
        <f>(A586-$B$584)^2</f>
        <v>6.25E-2</v>
      </c>
      <c r="D586" s="256"/>
    </row>
    <row r="587" spans="1:8" x14ac:dyDescent="0.3">
      <c r="A587" s="24">
        <v>8</v>
      </c>
      <c r="B587" s="256"/>
      <c r="C587" s="24">
        <f>(A587-$B$584)^2</f>
        <v>1.5625</v>
      </c>
      <c r="D587" s="256"/>
    </row>
    <row r="588" spans="1:8" ht="63" customHeight="1" x14ac:dyDescent="0.3">
      <c r="C588" s="24" t="s">
        <v>514</v>
      </c>
      <c r="D588" s="62">
        <f>AVERAGE(D544:D587)</f>
        <v>1.8849431818181819</v>
      </c>
    </row>
    <row r="589" spans="1:8" x14ac:dyDescent="0.3">
      <c r="B589" s="24" t="s">
        <v>515</v>
      </c>
    </row>
    <row r="590" spans="1:8" x14ac:dyDescent="0.3">
      <c r="B590" s="24">
        <v>2</v>
      </c>
      <c r="C590" s="24">
        <f t="shared" ref="C590:C595" si="9">(B590-$B$596)^2</f>
        <v>12.25</v>
      </c>
      <c r="F590" s="256" t="s">
        <v>516</v>
      </c>
      <c r="G590" s="256"/>
      <c r="H590" s="256"/>
    </row>
    <row r="591" spans="1:8" ht="15.6" customHeight="1" x14ac:dyDescent="0.3">
      <c r="B591" s="24">
        <v>4</v>
      </c>
      <c r="C591" s="24">
        <f t="shared" si="9"/>
        <v>2.25</v>
      </c>
      <c r="F591" s="256"/>
      <c r="G591" s="256"/>
      <c r="H591" s="256"/>
    </row>
    <row r="592" spans="1:8" x14ac:dyDescent="0.3">
      <c r="B592" s="24">
        <v>6</v>
      </c>
      <c r="C592" s="24">
        <f t="shared" si="9"/>
        <v>0.25</v>
      </c>
    </row>
    <row r="593" spans="1:8" x14ac:dyDescent="0.3">
      <c r="B593" s="24">
        <v>6</v>
      </c>
      <c r="C593" s="24">
        <f t="shared" si="9"/>
        <v>0.25</v>
      </c>
    </row>
    <row r="594" spans="1:8" x14ac:dyDescent="0.3">
      <c r="B594" s="24">
        <v>7</v>
      </c>
      <c r="C594" s="24">
        <f t="shared" si="9"/>
        <v>2.25</v>
      </c>
      <c r="F594" s="256" t="s">
        <v>30</v>
      </c>
      <c r="G594" s="256"/>
      <c r="H594" s="256"/>
    </row>
    <row r="595" spans="1:8" x14ac:dyDescent="0.3">
      <c r="B595" s="24">
        <v>8</v>
      </c>
      <c r="C595" s="24">
        <f t="shared" si="9"/>
        <v>6.25</v>
      </c>
    </row>
    <row r="596" spans="1:8" x14ac:dyDescent="0.3">
      <c r="A596" s="24" t="s">
        <v>3</v>
      </c>
      <c r="B596" s="24">
        <f>AVERAGE(B590:B595)</f>
        <v>5.5</v>
      </c>
    </row>
    <row r="597" spans="1:8" x14ac:dyDescent="0.3">
      <c r="A597" s="24" t="s">
        <v>134</v>
      </c>
      <c r="C597" s="62">
        <f>AVERAGE(C590:C595)</f>
        <v>3.9166666666666665</v>
      </c>
    </row>
    <row r="599" spans="1:8" ht="19.95" customHeight="1" x14ac:dyDescent="0.3">
      <c r="A599" s="256" t="s">
        <v>517</v>
      </c>
      <c r="B599" s="256"/>
      <c r="C599" s="24">
        <f>6*C597/5</f>
        <v>4.7</v>
      </c>
      <c r="D599" s="256" t="s">
        <v>518</v>
      </c>
      <c r="E599" s="256"/>
      <c r="F599" s="256"/>
      <c r="G599" s="256"/>
      <c r="H599" s="256"/>
    </row>
    <row r="600" spans="1:8" x14ac:dyDescent="0.3">
      <c r="D600" s="256"/>
      <c r="E600" s="256"/>
      <c r="F600" s="256"/>
      <c r="G600" s="256"/>
      <c r="H600" s="256"/>
    </row>
    <row r="601" spans="1:8" ht="16.2" thickBot="1" x14ac:dyDescent="0.35"/>
    <row r="602" spans="1:8" ht="16.2" thickBot="1" x14ac:dyDescent="0.35">
      <c r="A602" s="278" t="s">
        <v>333</v>
      </c>
      <c r="B602" s="279"/>
      <c r="C602" s="279"/>
      <c r="D602" s="279"/>
      <c r="E602" s="279"/>
      <c r="F602" s="279"/>
      <c r="G602" s="279"/>
      <c r="H602" s="280"/>
    </row>
    <row r="603" spans="1:8" x14ac:dyDescent="0.3">
      <c r="A603" s="25"/>
      <c r="B603" s="25" t="s">
        <v>53</v>
      </c>
      <c r="C603" s="25" t="s">
        <v>54</v>
      </c>
    </row>
    <row r="604" spans="1:8" ht="31.2" x14ac:dyDescent="0.3">
      <c r="A604" s="24" t="s">
        <v>498</v>
      </c>
      <c r="B604" s="24">
        <v>6</v>
      </c>
      <c r="C604" s="24">
        <v>6</v>
      </c>
    </row>
    <row r="605" spans="1:8" ht="31.2" x14ac:dyDescent="0.3">
      <c r="A605" s="24" t="s">
        <v>502</v>
      </c>
      <c r="B605" s="24">
        <f>B604-1</f>
        <v>5</v>
      </c>
      <c r="C605" s="24">
        <f>C604-1</f>
        <v>5</v>
      </c>
    </row>
    <row r="607" spans="1:8" ht="19.8" x14ac:dyDescent="0.3">
      <c r="A607" s="24" t="s">
        <v>519</v>
      </c>
      <c r="B607" s="24">
        <f>CHIINV(0.05,B605)</f>
        <v>11.070497693516353</v>
      </c>
      <c r="C607" s="24">
        <f>CHIINV(0.9,C605)</f>
        <v>1.6103079869623229</v>
      </c>
    </row>
    <row r="608" spans="1:8" ht="19.8" x14ac:dyDescent="0.3">
      <c r="A608" s="24" t="s">
        <v>520</v>
      </c>
      <c r="B608" s="24">
        <f>CHIINV(0.05,B605)</f>
        <v>11.070497693516353</v>
      </c>
      <c r="C608" s="24">
        <f>CHIINV(0.9,C605)</f>
        <v>1.6103079869623229</v>
      </c>
    </row>
    <row r="609" spans="1:8" ht="19.8" x14ac:dyDescent="0.3">
      <c r="A609" s="24" t="s">
        <v>521</v>
      </c>
      <c r="B609" s="24">
        <f>B608/5</f>
        <v>2.2140995387032705</v>
      </c>
      <c r="C609" s="24">
        <f>C608/5</f>
        <v>0.32206159739246459</v>
      </c>
    </row>
    <row r="610" spans="1:8" x14ac:dyDescent="0.3">
      <c r="A610" s="24" t="s">
        <v>177</v>
      </c>
      <c r="B610" s="62">
        <f>B609*100</f>
        <v>221.40995387032706</v>
      </c>
      <c r="C610" s="62">
        <f>C609*100</f>
        <v>32.206159739246459</v>
      </c>
    </row>
    <row r="611" spans="1:8" ht="16.2" thickBot="1" x14ac:dyDescent="0.35"/>
    <row r="612" spans="1:8" ht="16.2" thickBot="1" x14ac:dyDescent="0.35">
      <c r="A612" s="278" t="s">
        <v>340</v>
      </c>
      <c r="B612" s="279"/>
      <c r="C612" s="279"/>
      <c r="D612" s="279"/>
      <c r="E612" s="279"/>
      <c r="F612" s="279"/>
      <c r="G612" s="279"/>
      <c r="H612" s="280"/>
    </row>
    <row r="613" spans="1:8" x14ac:dyDescent="0.3">
      <c r="A613" s="25"/>
      <c r="B613" s="25"/>
      <c r="C613" s="25"/>
    </row>
    <row r="622" spans="1:8" ht="16.2" thickBot="1" x14ac:dyDescent="0.35"/>
    <row r="623" spans="1:8" ht="16.2" thickBot="1" x14ac:dyDescent="0.35">
      <c r="A623" s="278" t="s">
        <v>341</v>
      </c>
      <c r="B623" s="279"/>
      <c r="C623" s="279"/>
      <c r="D623" s="279"/>
      <c r="E623" s="279"/>
      <c r="F623" s="279"/>
      <c r="G623" s="279"/>
      <c r="H623" s="280"/>
    </row>
    <row r="624" spans="1:8" x14ac:dyDescent="0.3">
      <c r="A624" s="25"/>
    </row>
  </sheetData>
  <mergeCells count="139">
    <mergeCell ref="A623:H623"/>
    <mergeCell ref="F594:H594"/>
    <mergeCell ref="F590:H591"/>
    <mergeCell ref="A599:B599"/>
    <mergeCell ref="D599:H600"/>
    <mergeCell ref="A602:H602"/>
    <mergeCell ref="A612:H612"/>
    <mergeCell ref="B580:B583"/>
    <mergeCell ref="B584:B587"/>
    <mergeCell ref="D580:D583"/>
    <mergeCell ref="D584:D587"/>
    <mergeCell ref="D544:D547"/>
    <mergeCell ref="D548:D551"/>
    <mergeCell ref="D552:D555"/>
    <mergeCell ref="D556:D559"/>
    <mergeCell ref="D560:D563"/>
    <mergeCell ref="D564:D567"/>
    <mergeCell ref="D568:D571"/>
    <mergeCell ref="D572:D575"/>
    <mergeCell ref="D576:D579"/>
    <mergeCell ref="B544:B547"/>
    <mergeCell ref="B548:B551"/>
    <mergeCell ref="B552:B555"/>
    <mergeCell ref="B556:B559"/>
    <mergeCell ref="B560:B563"/>
    <mergeCell ref="B564:B567"/>
    <mergeCell ref="B568:B571"/>
    <mergeCell ref="B572:B575"/>
    <mergeCell ref="B576:B579"/>
    <mergeCell ref="A392:H392"/>
    <mergeCell ref="B460:C469"/>
    <mergeCell ref="A470:H470"/>
    <mergeCell ref="A481:H481"/>
    <mergeCell ref="A493:H493"/>
    <mergeCell ref="A505:H505"/>
    <mergeCell ref="A517:H517"/>
    <mergeCell ref="A529:H529"/>
    <mergeCell ref="A542:H542"/>
    <mergeCell ref="A446:H446"/>
    <mergeCell ref="C453:D453"/>
    <mergeCell ref="A459:H459"/>
    <mergeCell ref="A403:H403"/>
    <mergeCell ref="A413:H413"/>
    <mergeCell ref="A423:H423"/>
    <mergeCell ref="A433:H433"/>
    <mergeCell ref="C440:D440"/>
    <mergeCell ref="D98:E98"/>
    <mergeCell ref="A80:A82"/>
    <mergeCell ref="B80:B82"/>
    <mergeCell ref="D269:E269"/>
    <mergeCell ref="A275:H275"/>
    <mergeCell ref="D84:E84"/>
    <mergeCell ref="C80:C82"/>
    <mergeCell ref="F84:G84"/>
    <mergeCell ref="A90:H90"/>
    <mergeCell ref="A94:A96"/>
    <mergeCell ref="B94:B96"/>
    <mergeCell ref="A104:H104"/>
    <mergeCell ref="A108:A110"/>
    <mergeCell ref="B108:B110"/>
    <mergeCell ref="C112:D112"/>
    <mergeCell ref="C108:C110"/>
    <mergeCell ref="E112:F112"/>
    <mergeCell ref="A155:H155"/>
    <mergeCell ref="A118:H118"/>
    <mergeCell ref="A122:A124"/>
    <mergeCell ref="B122:B124"/>
    <mergeCell ref="C122:C124"/>
    <mergeCell ref="C126:D126"/>
    <mergeCell ref="E126:F126"/>
    <mergeCell ref="A1:H1"/>
    <mergeCell ref="A9:H9"/>
    <mergeCell ref="A17:H17"/>
    <mergeCell ref="A21:D21"/>
    <mergeCell ref="E21:H21"/>
    <mergeCell ref="A66:A68"/>
    <mergeCell ref="B66:B68"/>
    <mergeCell ref="D70:E70"/>
    <mergeCell ref="A76:H76"/>
    <mergeCell ref="A62:H62"/>
    <mergeCell ref="F70:H70"/>
    <mergeCell ref="F71:H71"/>
    <mergeCell ref="F42:G42"/>
    <mergeCell ref="F54:G55"/>
    <mergeCell ref="H54:H55"/>
    <mergeCell ref="D53:H53"/>
    <mergeCell ref="E22:H28"/>
    <mergeCell ref="A46:H46"/>
    <mergeCell ref="A50:A52"/>
    <mergeCell ref="B50:B52"/>
    <mergeCell ref="A37:H37"/>
    <mergeCell ref="A41:A43"/>
    <mergeCell ref="B41:B43"/>
    <mergeCell ref="F41:G41"/>
    <mergeCell ref="A140:H140"/>
    <mergeCell ref="A144:A146"/>
    <mergeCell ref="B144:B146"/>
    <mergeCell ref="C144:C146"/>
    <mergeCell ref="A148:B148"/>
    <mergeCell ref="A183:F183"/>
    <mergeCell ref="B212:B213"/>
    <mergeCell ref="C212:C213"/>
    <mergeCell ref="E212:E213"/>
    <mergeCell ref="A198:F198"/>
    <mergeCell ref="H160:H162"/>
    <mergeCell ref="I160:I162"/>
    <mergeCell ref="G164:H164"/>
    <mergeCell ref="A169:H169"/>
    <mergeCell ref="A170:D170"/>
    <mergeCell ref="A159:A161"/>
    <mergeCell ref="B159:B161"/>
    <mergeCell ref="C159:C161"/>
    <mergeCell ref="A163:B163"/>
    <mergeCell ref="G160:G162"/>
    <mergeCell ref="A233:F233"/>
    <mergeCell ref="A234:F236"/>
    <mergeCell ref="A238:H238"/>
    <mergeCell ref="D244:E244"/>
    <mergeCell ref="A219:H219"/>
    <mergeCell ref="A220:F220"/>
    <mergeCell ref="A229:F229"/>
    <mergeCell ref="G227:H227"/>
    <mergeCell ref="A230:F231"/>
    <mergeCell ref="A359:H359"/>
    <mergeCell ref="E366:F366"/>
    <mergeCell ref="A370:H370"/>
    <mergeCell ref="A377:H377"/>
    <mergeCell ref="A250:H250"/>
    <mergeCell ref="C256:D256"/>
    <mergeCell ref="A262:H262"/>
    <mergeCell ref="A333:H333"/>
    <mergeCell ref="C340:D340"/>
    <mergeCell ref="A346:H346"/>
    <mergeCell ref="C353:D353"/>
    <mergeCell ref="A286:H286"/>
    <mergeCell ref="A297:H297"/>
    <mergeCell ref="A308:H308"/>
    <mergeCell ref="D315:E315"/>
    <mergeCell ref="A321:H3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50"/>
  <sheetViews>
    <sheetView topLeftCell="A198" workbookViewId="0">
      <selection activeCell="A250" sqref="A250:H259"/>
    </sheetView>
  </sheetViews>
  <sheetFormatPr defaultColWidth="8.88671875" defaultRowHeight="13.8" x14ac:dyDescent="0.3"/>
  <cols>
    <col min="1" max="2" width="15.109375" style="1" customWidth="1"/>
    <col min="3" max="3" width="10.109375" style="1" customWidth="1"/>
    <col min="4" max="4" width="13.33203125" style="1" customWidth="1"/>
    <col min="5" max="5" width="12.33203125" style="1" bestFit="1" customWidth="1"/>
    <col min="6" max="6" width="11.5546875" style="1" bestFit="1" customWidth="1"/>
    <col min="7" max="7" width="12.33203125" style="1" bestFit="1" customWidth="1"/>
    <col min="8" max="8" width="11.5546875" style="1" bestFit="1" customWidth="1"/>
    <col min="9" max="10" width="12.33203125" style="1" bestFit="1" customWidth="1"/>
    <col min="11" max="12" width="11.5546875" style="1" bestFit="1" customWidth="1"/>
    <col min="13" max="16384" width="8.88671875" style="1"/>
  </cols>
  <sheetData>
    <row r="1" spans="1:8" ht="16.2" thickBot="1" x14ac:dyDescent="0.35">
      <c r="A1" s="291" t="s">
        <v>0</v>
      </c>
      <c r="B1" s="292"/>
      <c r="C1" s="292"/>
      <c r="D1" s="292"/>
      <c r="E1" s="292"/>
      <c r="F1" s="292"/>
      <c r="G1" s="292"/>
      <c r="H1" s="293"/>
    </row>
    <row r="2" spans="1:8" ht="15.6" x14ac:dyDescent="0.3">
      <c r="B2" s="226" t="s">
        <v>53</v>
      </c>
      <c r="C2" s="226"/>
      <c r="D2" s="226"/>
      <c r="E2" s="226"/>
      <c r="F2" s="226"/>
      <c r="G2" s="297" t="s">
        <v>54</v>
      </c>
      <c r="H2" s="297"/>
    </row>
    <row r="3" spans="1:8" ht="48.6" customHeight="1" x14ac:dyDescent="0.3">
      <c r="A3" s="158"/>
      <c r="B3" s="159" t="s">
        <v>522</v>
      </c>
      <c r="C3" s="1" t="s">
        <v>523</v>
      </c>
      <c r="D3" s="295" t="s">
        <v>524</v>
      </c>
      <c r="E3" s="295"/>
      <c r="F3" s="295"/>
      <c r="G3" s="225" t="s">
        <v>526</v>
      </c>
      <c r="H3" s="225"/>
    </row>
    <row r="4" spans="1:8" x14ac:dyDescent="0.3">
      <c r="A4" s="1">
        <v>1</v>
      </c>
      <c r="B4" s="1">
        <v>3.2</v>
      </c>
      <c r="C4" s="1">
        <f t="shared" ref="C4:C11" si="0">(B4-$B$12)^2</f>
        <v>3.0624999999999937E-2</v>
      </c>
      <c r="D4" s="296">
        <f>COUNTIF(B4:B11,"&gt;3,75")/8</f>
        <v>0.375</v>
      </c>
      <c r="E4" s="296"/>
      <c r="F4" s="296"/>
      <c r="G4" s="225" t="s">
        <v>3</v>
      </c>
      <c r="H4" s="225"/>
    </row>
    <row r="5" spans="1:8" x14ac:dyDescent="0.3">
      <c r="A5" s="1">
        <v>2</v>
      </c>
      <c r="B5" s="1">
        <v>4.3</v>
      </c>
      <c r="C5" s="1">
        <f t="shared" si="0"/>
        <v>0.85562499999999964</v>
      </c>
      <c r="G5" s="225" t="s">
        <v>134</v>
      </c>
      <c r="H5" s="225"/>
    </row>
    <row r="6" spans="1:8" x14ac:dyDescent="0.3">
      <c r="A6" s="1">
        <v>3</v>
      </c>
      <c r="B6" s="1">
        <v>2.1</v>
      </c>
      <c r="C6" s="1">
        <f t="shared" si="0"/>
        <v>1.6256249999999999</v>
      </c>
      <c r="G6" s="225" t="s">
        <v>268</v>
      </c>
      <c r="H6" s="225"/>
    </row>
    <row r="7" spans="1:8" x14ac:dyDescent="0.3">
      <c r="A7" s="1">
        <v>4</v>
      </c>
      <c r="B7" s="1">
        <v>2.8</v>
      </c>
      <c r="C7" s="1">
        <f t="shared" si="0"/>
        <v>0.33062500000000022</v>
      </c>
    </row>
    <row r="8" spans="1:8" x14ac:dyDescent="0.3">
      <c r="A8" s="1">
        <v>5</v>
      </c>
      <c r="B8" s="1">
        <v>3.2</v>
      </c>
      <c r="C8" s="1">
        <f t="shared" si="0"/>
        <v>3.0624999999999937E-2</v>
      </c>
    </row>
    <row r="9" spans="1:8" x14ac:dyDescent="0.3">
      <c r="A9" s="1">
        <v>6</v>
      </c>
      <c r="B9" s="1">
        <v>3.6</v>
      </c>
      <c r="C9" s="1">
        <f t="shared" si="0"/>
        <v>5.0625000000000038E-2</v>
      </c>
    </row>
    <row r="10" spans="1:8" x14ac:dyDescent="0.3">
      <c r="A10" s="1">
        <v>7</v>
      </c>
      <c r="B10" s="1">
        <v>4</v>
      </c>
      <c r="C10" s="1">
        <f t="shared" si="0"/>
        <v>0.390625</v>
      </c>
    </row>
    <row r="11" spans="1:8" x14ac:dyDescent="0.3">
      <c r="A11" s="1">
        <v>8</v>
      </c>
      <c r="B11" s="1">
        <v>3.8</v>
      </c>
      <c r="C11" s="1">
        <f t="shared" si="0"/>
        <v>0.18062499999999984</v>
      </c>
    </row>
    <row r="12" spans="1:8" x14ac:dyDescent="0.3">
      <c r="A12" s="1" t="s">
        <v>3</v>
      </c>
      <c r="B12" s="161">
        <f>AVERAGE(B4:B11)</f>
        <v>3.375</v>
      </c>
    </row>
    <row r="13" spans="1:8" x14ac:dyDescent="0.3">
      <c r="A13" s="1" t="s">
        <v>134</v>
      </c>
      <c r="B13" s="160">
        <f>VAR(B4:B11)</f>
        <v>0.49928571428571494</v>
      </c>
      <c r="C13" s="160">
        <f>SUM(C4:C11)/7</f>
        <v>0.49928571428571428</v>
      </c>
    </row>
    <row r="14" spans="1:8" ht="27.6" x14ac:dyDescent="0.3">
      <c r="A14" s="1" t="s">
        <v>4</v>
      </c>
      <c r="B14" s="160">
        <f>STDEV(B4:B11)</f>
        <v>0.70660152440092783</v>
      </c>
      <c r="C14" s="160">
        <f>SQRT(C13)</f>
        <v>0.70660152440092727</v>
      </c>
    </row>
    <row r="15" spans="1:8" ht="14.4" thickBot="1" x14ac:dyDescent="0.35"/>
    <row r="16" spans="1:8" ht="16.2" thickBot="1" x14ac:dyDescent="0.35">
      <c r="A16" s="291" t="s">
        <v>7</v>
      </c>
      <c r="B16" s="292"/>
      <c r="C16" s="292"/>
      <c r="D16" s="298"/>
      <c r="E16" s="298"/>
      <c r="F16" s="298"/>
      <c r="G16" s="292"/>
      <c r="H16" s="293"/>
    </row>
    <row r="17" spans="1:8" ht="15.6" x14ac:dyDescent="0.3">
      <c r="B17" s="226" t="s">
        <v>53</v>
      </c>
      <c r="C17" s="226"/>
      <c r="D17" s="297" t="s">
        <v>54</v>
      </c>
      <c r="E17" s="297"/>
      <c r="F17" s="225" t="s">
        <v>56</v>
      </c>
      <c r="G17" s="225"/>
      <c r="H17" s="162"/>
    </row>
    <row r="18" spans="1:8" ht="42.6" customHeight="1" x14ac:dyDescent="0.3">
      <c r="A18" s="158"/>
      <c r="B18" s="159" t="s">
        <v>525</v>
      </c>
      <c r="C18" s="1" t="s">
        <v>523</v>
      </c>
      <c r="D18" s="225" t="s">
        <v>526</v>
      </c>
      <c r="E18" s="225"/>
      <c r="F18" s="295" t="s">
        <v>527</v>
      </c>
      <c r="G18" s="295"/>
    </row>
    <row r="19" spans="1:8" x14ac:dyDescent="0.3">
      <c r="A19" s="1">
        <v>1</v>
      </c>
      <c r="B19" s="1">
        <v>92</v>
      </c>
      <c r="C19" s="1">
        <f>(B19-$B$27)^2</f>
        <v>87.890625</v>
      </c>
      <c r="D19" s="299" t="s">
        <v>3</v>
      </c>
      <c r="E19" s="299"/>
      <c r="F19" s="299">
        <f>COUNTIF(B19:B26,"&gt;92")/8</f>
        <v>0.625</v>
      </c>
      <c r="G19" s="299"/>
      <c r="H19" s="162"/>
    </row>
    <row r="20" spans="1:8" x14ac:dyDescent="0.3">
      <c r="A20" s="1">
        <v>2</v>
      </c>
      <c r="B20" s="1">
        <v>83</v>
      </c>
      <c r="C20" s="1">
        <f t="shared" ref="C20:C26" si="1">(B20-$B$27)^2</f>
        <v>337.640625</v>
      </c>
      <c r="D20" s="299" t="s">
        <v>134</v>
      </c>
      <c r="E20" s="299"/>
      <c r="G20" s="162"/>
      <c r="H20" s="162"/>
    </row>
    <row r="21" spans="1:8" x14ac:dyDescent="0.3">
      <c r="A21" s="1">
        <v>3</v>
      </c>
      <c r="B21" s="1">
        <v>112</v>
      </c>
      <c r="C21" s="1">
        <f t="shared" si="1"/>
        <v>112.890625</v>
      </c>
      <c r="D21" s="225"/>
      <c r="E21" s="225"/>
      <c r="G21" s="162"/>
      <c r="H21" s="162"/>
    </row>
    <row r="22" spans="1:8" x14ac:dyDescent="0.3">
      <c r="A22" s="1">
        <v>4</v>
      </c>
      <c r="B22" s="1">
        <v>127</v>
      </c>
      <c r="C22" s="1">
        <f t="shared" si="1"/>
        <v>656.640625</v>
      </c>
      <c r="F22" s="1" t="s">
        <v>55</v>
      </c>
    </row>
    <row r="23" spans="1:8" x14ac:dyDescent="0.3">
      <c r="A23" s="1">
        <v>5</v>
      </c>
      <c r="B23" s="1">
        <v>109</v>
      </c>
      <c r="C23" s="1">
        <f t="shared" si="1"/>
        <v>58.140625</v>
      </c>
    </row>
    <row r="24" spans="1:8" x14ac:dyDescent="0.3">
      <c r="A24" s="1">
        <v>6</v>
      </c>
      <c r="B24" s="1">
        <v>96</v>
      </c>
      <c r="C24" s="1">
        <f t="shared" si="1"/>
        <v>28.890625</v>
      </c>
    </row>
    <row r="25" spans="1:8" x14ac:dyDescent="0.3">
      <c r="A25" s="1">
        <v>7</v>
      </c>
      <c r="B25" s="1">
        <v>102</v>
      </c>
      <c r="C25" s="1">
        <f t="shared" si="1"/>
        <v>0.390625</v>
      </c>
    </row>
    <row r="26" spans="1:8" x14ac:dyDescent="0.3">
      <c r="A26" s="1">
        <v>8</v>
      </c>
      <c r="B26" s="1">
        <v>90</v>
      </c>
      <c r="C26" s="1">
        <f t="shared" si="1"/>
        <v>129.390625</v>
      </c>
    </row>
    <row r="27" spans="1:8" x14ac:dyDescent="0.3">
      <c r="A27" s="1" t="s">
        <v>3</v>
      </c>
      <c r="B27" s="161">
        <f>AVERAGE(B19:B26)</f>
        <v>101.375</v>
      </c>
    </row>
    <row r="28" spans="1:8" x14ac:dyDescent="0.3">
      <c r="A28" s="1" t="s">
        <v>134</v>
      </c>
      <c r="B28" s="160">
        <f>VAR(B19:B26)</f>
        <v>201.69642857142858</v>
      </c>
      <c r="C28" s="160">
        <f>SUM($C$19:$C$26)/7</f>
        <v>201.69642857142858</v>
      </c>
    </row>
    <row r="29" spans="1:8" ht="27.6" x14ac:dyDescent="0.3">
      <c r="A29" s="1" t="s">
        <v>4</v>
      </c>
      <c r="B29" s="160">
        <f>STDEV(B19:B26)</f>
        <v>14.201986782539567</v>
      </c>
      <c r="C29" s="160">
        <f>SQRT(C28)</f>
        <v>14.201986782539567</v>
      </c>
    </row>
    <row r="30" spans="1:8" ht="14.4" thickBot="1" x14ac:dyDescent="0.35"/>
    <row r="31" spans="1:8" ht="16.2" thickBot="1" x14ac:dyDescent="0.35">
      <c r="A31" s="291" t="s">
        <v>11</v>
      </c>
      <c r="B31" s="292"/>
      <c r="C31" s="292"/>
      <c r="D31" s="298"/>
      <c r="E31" s="298"/>
      <c r="F31" s="298"/>
      <c r="G31" s="292"/>
      <c r="H31" s="293"/>
    </row>
    <row r="32" spans="1:8" ht="14.4" customHeight="1" x14ac:dyDescent="0.3">
      <c r="B32" s="226" t="s">
        <v>53</v>
      </c>
      <c r="C32" s="226"/>
      <c r="D32" s="226"/>
      <c r="E32" s="226"/>
      <c r="F32" s="225" t="s">
        <v>54</v>
      </c>
      <c r="G32" s="225"/>
      <c r="H32" s="162"/>
    </row>
    <row r="33" spans="1:8" ht="62.4" customHeight="1" x14ac:dyDescent="0.3">
      <c r="B33" s="159" t="s">
        <v>525</v>
      </c>
      <c r="C33" s="1" t="s">
        <v>523</v>
      </c>
      <c r="D33" s="225" t="s">
        <v>528</v>
      </c>
      <c r="E33" s="225"/>
      <c r="F33" s="300" t="s">
        <v>529</v>
      </c>
      <c r="G33" s="300"/>
    </row>
    <row r="34" spans="1:8" x14ac:dyDescent="0.3">
      <c r="A34" s="1">
        <v>1</v>
      </c>
      <c r="B34" s="1">
        <v>3</v>
      </c>
      <c r="C34" s="1">
        <f>(B34-$B$44)^2</f>
        <v>0.49000000000000027</v>
      </c>
      <c r="D34" s="299">
        <f>COUNTIF(B34:B43,"&gt;3")/10</f>
        <v>0.6</v>
      </c>
      <c r="E34" s="299"/>
      <c r="F34" s="299" t="s">
        <v>3</v>
      </c>
      <c r="G34" s="299"/>
      <c r="H34" s="162"/>
    </row>
    <row r="35" spans="1:8" ht="13.95" customHeight="1" x14ac:dyDescent="0.3">
      <c r="A35" s="1">
        <v>2</v>
      </c>
      <c r="B35" s="1">
        <v>3</v>
      </c>
      <c r="C35" s="1">
        <f t="shared" ref="C35:C43" si="2">(B35-$B$44)^2</f>
        <v>0.49000000000000027</v>
      </c>
      <c r="D35" s="162"/>
      <c r="E35" s="162"/>
      <c r="F35" s="299" t="s">
        <v>134</v>
      </c>
      <c r="G35" s="299"/>
      <c r="H35" s="162"/>
    </row>
    <row r="36" spans="1:8" x14ac:dyDescent="0.3">
      <c r="A36" s="1">
        <v>3</v>
      </c>
      <c r="B36" s="1">
        <v>4</v>
      </c>
      <c r="C36" s="1">
        <f t="shared" si="2"/>
        <v>8.99999999999999E-2</v>
      </c>
      <c r="G36" s="162"/>
      <c r="H36" s="162"/>
    </row>
    <row r="37" spans="1:8" x14ac:dyDescent="0.3">
      <c r="A37" s="1">
        <v>4</v>
      </c>
      <c r="B37" s="1">
        <v>3</v>
      </c>
      <c r="C37" s="1">
        <f t="shared" si="2"/>
        <v>0.49000000000000027</v>
      </c>
    </row>
    <row r="38" spans="1:8" x14ac:dyDescent="0.3">
      <c r="A38" s="1">
        <v>5</v>
      </c>
      <c r="B38" s="1">
        <v>5</v>
      </c>
      <c r="C38" s="1">
        <f t="shared" si="2"/>
        <v>1.6899999999999995</v>
      </c>
    </row>
    <row r="39" spans="1:8" x14ac:dyDescent="0.3">
      <c r="A39" s="1">
        <v>6</v>
      </c>
      <c r="B39" s="1">
        <v>2</v>
      </c>
      <c r="C39" s="1">
        <f t="shared" si="2"/>
        <v>2.8900000000000006</v>
      </c>
    </row>
    <row r="40" spans="1:8" x14ac:dyDescent="0.3">
      <c r="A40" s="1">
        <v>7</v>
      </c>
      <c r="B40" s="1">
        <v>4</v>
      </c>
      <c r="C40" s="1">
        <f t="shared" si="2"/>
        <v>8.99999999999999E-2</v>
      </c>
    </row>
    <row r="41" spans="1:8" x14ac:dyDescent="0.3">
      <c r="A41" s="1">
        <v>8</v>
      </c>
      <c r="B41" s="1">
        <v>4</v>
      </c>
      <c r="C41" s="1">
        <f t="shared" si="2"/>
        <v>8.99999999999999E-2</v>
      </c>
    </row>
    <row r="42" spans="1:8" x14ac:dyDescent="0.3">
      <c r="A42" s="1">
        <v>9</v>
      </c>
      <c r="B42" s="1">
        <v>4</v>
      </c>
      <c r="C42" s="1">
        <f t="shared" si="2"/>
        <v>8.99999999999999E-2</v>
      </c>
    </row>
    <row r="43" spans="1:8" x14ac:dyDescent="0.3">
      <c r="A43" s="1">
        <v>10</v>
      </c>
      <c r="B43" s="1">
        <v>5</v>
      </c>
      <c r="C43" s="1">
        <f t="shared" si="2"/>
        <v>1.6899999999999995</v>
      </c>
    </row>
    <row r="44" spans="1:8" x14ac:dyDescent="0.3">
      <c r="A44" s="1" t="s">
        <v>3</v>
      </c>
      <c r="B44" s="1">
        <f>AVERAGE(B34:B43)</f>
        <v>3.7</v>
      </c>
    </row>
    <row r="45" spans="1:8" x14ac:dyDescent="0.3">
      <c r="A45" s="1" t="s">
        <v>134</v>
      </c>
      <c r="B45" s="160">
        <f>VAR(B34:B43)</f>
        <v>0.89999999999999936</v>
      </c>
      <c r="C45" s="160">
        <f>SUM(C34:C43)/9</f>
        <v>0.89999999999999991</v>
      </c>
    </row>
    <row r="46" spans="1:8" ht="27.6" x14ac:dyDescent="0.3">
      <c r="A46" s="1" t="s">
        <v>4</v>
      </c>
      <c r="B46" s="160">
        <f>STDEV(B34:B43)</f>
        <v>0.94868329805051343</v>
      </c>
      <c r="C46" s="160">
        <f>SQRT(C45)</f>
        <v>0.94868329805051377</v>
      </c>
    </row>
    <row r="47" spans="1:8" ht="14.4" thickBot="1" x14ac:dyDescent="0.35"/>
    <row r="48" spans="1:8" ht="16.2" thickBot="1" x14ac:dyDescent="0.35">
      <c r="A48" s="291" t="s">
        <v>15</v>
      </c>
      <c r="B48" s="292"/>
      <c r="C48" s="292"/>
      <c r="D48" s="298"/>
      <c r="E48" s="298"/>
      <c r="F48" s="298"/>
      <c r="G48" s="292"/>
      <c r="H48" s="293"/>
    </row>
    <row r="49" spans="1:2" ht="27.6" x14ac:dyDescent="0.3">
      <c r="A49" s="1" t="s">
        <v>531</v>
      </c>
      <c r="B49" s="1" t="s">
        <v>532</v>
      </c>
    </row>
    <row r="50" spans="1:2" ht="34.950000000000003" customHeight="1" x14ac:dyDescent="0.3">
      <c r="B50" s="24">
        <v>2</v>
      </c>
    </row>
    <row r="51" spans="1:2" ht="31.2" customHeight="1" x14ac:dyDescent="0.3">
      <c r="B51" s="24">
        <v>4</v>
      </c>
    </row>
    <row r="52" spans="1:2" ht="14.4" customHeight="1" x14ac:dyDescent="0.3">
      <c r="B52" s="24">
        <v>6</v>
      </c>
    </row>
    <row r="53" spans="1:2" ht="31.2" customHeight="1" x14ac:dyDescent="0.3">
      <c r="B53" s="24">
        <v>6</v>
      </c>
    </row>
    <row r="54" spans="1:2" ht="15.6" x14ac:dyDescent="0.3">
      <c r="B54" s="24">
        <v>7</v>
      </c>
    </row>
    <row r="55" spans="1:2" ht="15.6" x14ac:dyDescent="0.3">
      <c r="B55" s="24">
        <v>8</v>
      </c>
    </row>
    <row r="56" spans="1:2" ht="15.6" x14ac:dyDescent="0.3">
      <c r="A56" s="24" t="s">
        <v>98</v>
      </c>
      <c r="B56" s="24">
        <f>SUM(B50:B55)</f>
        <v>33</v>
      </c>
    </row>
    <row r="57" spans="1:2" ht="15.6" x14ac:dyDescent="0.3">
      <c r="A57" s="24" t="s">
        <v>3</v>
      </c>
      <c r="B57" s="24">
        <f>AVERAGE(B50:B55)</f>
        <v>5.5</v>
      </c>
    </row>
    <row r="58" spans="1:2" ht="15.6" x14ac:dyDescent="0.3">
      <c r="A58" s="24" t="s">
        <v>134</v>
      </c>
      <c r="B58" s="62">
        <f>VARP(B50:B55)</f>
        <v>3.9166666666666665</v>
      </c>
    </row>
    <row r="59" spans="1:2" ht="15.6" x14ac:dyDescent="0.3">
      <c r="A59" s="24"/>
      <c r="B59" s="24"/>
    </row>
    <row r="60" spans="1:2" ht="15.6" customHeight="1" x14ac:dyDescent="0.3">
      <c r="A60" s="256" t="s">
        <v>533</v>
      </c>
      <c r="B60" s="24">
        <v>2</v>
      </c>
    </row>
    <row r="61" spans="1:2" ht="15.6" x14ac:dyDescent="0.3">
      <c r="A61" s="256"/>
      <c r="B61" s="24"/>
    </row>
    <row r="62" spans="1:2" ht="15.6" x14ac:dyDescent="0.3">
      <c r="A62" s="256"/>
      <c r="B62" s="24"/>
    </row>
    <row r="63" spans="1:2" ht="15.6" x14ac:dyDescent="0.3">
      <c r="A63" s="256"/>
      <c r="B63" s="24">
        <v>6</v>
      </c>
    </row>
    <row r="64" spans="1:2" ht="15.6" x14ac:dyDescent="0.3">
      <c r="A64" s="151" t="s">
        <v>3</v>
      </c>
      <c r="B64" s="39">
        <f>AVERAGE(B60:B63)</f>
        <v>4</v>
      </c>
    </row>
    <row r="65" spans="1:4" ht="15.6" x14ac:dyDescent="0.3">
      <c r="A65" s="24"/>
      <c r="B65" s="24"/>
    </row>
    <row r="66" spans="1:4" ht="15.6" x14ac:dyDescent="0.3">
      <c r="A66" s="256" t="s">
        <v>534</v>
      </c>
      <c r="B66" s="24">
        <v>6</v>
      </c>
    </row>
    <row r="67" spans="1:4" ht="15.6" x14ac:dyDescent="0.3">
      <c r="A67" s="256"/>
      <c r="B67" s="24"/>
    </row>
    <row r="68" spans="1:4" ht="15.6" x14ac:dyDescent="0.3">
      <c r="A68" s="256"/>
      <c r="B68" s="24"/>
    </row>
    <row r="69" spans="1:4" ht="15.6" x14ac:dyDescent="0.3">
      <c r="A69" s="256"/>
      <c r="B69" s="24">
        <v>8</v>
      </c>
    </row>
    <row r="70" spans="1:4" ht="15.6" x14ac:dyDescent="0.3">
      <c r="A70" s="24" t="s">
        <v>3</v>
      </c>
      <c r="B70" s="39">
        <f>AVERAGE(B66:B69)</f>
        <v>7</v>
      </c>
    </row>
    <row r="71" spans="1:4" ht="15.6" x14ac:dyDescent="0.3">
      <c r="A71" s="24"/>
      <c r="B71" s="24"/>
    </row>
    <row r="72" spans="1:4" ht="15.6" x14ac:dyDescent="0.3">
      <c r="A72" s="24"/>
      <c r="B72" s="24"/>
    </row>
    <row r="73" spans="1:4" ht="27.6" x14ac:dyDescent="0.3">
      <c r="A73" s="1" t="s">
        <v>530</v>
      </c>
      <c r="C73" s="1" t="s">
        <v>54</v>
      </c>
      <c r="D73" s="1" t="s">
        <v>55</v>
      </c>
    </row>
    <row r="74" spans="1:4" x14ac:dyDescent="0.3">
      <c r="A74" s="1">
        <v>1</v>
      </c>
      <c r="B74" s="1">
        <f>$B$64*0.5+$B$70*0.5</f>
        <v>5.5</v>
      </c>
      <c r="C74" s="1" t="s">
        <v>537</v>
      </c>
      <c r="D74" s="1">
        <f>B75/B74</f>
        <v>1.1363636363636365</v>
      </c>
    </row>
    <row r="75" spans="1:4" x14ac:dyDescent="0.3">
      <c r="A75" s="1">
        <v>2</v>
      </c>
      <c r="B75" s="1">
        <f>$B$64*0.25+$B$70*0.75</f>
        <v>6.25</v>
      </c>
      <c r="D75" s="1">
        <f>B76/B74</f>
        <v>1.0909090909090908</v>
      </c>
    </row>
    <row r="76" spans="1:4" x14ac:dyDescent="0.3">
      <c r="A76" s="1">
        <v>3</v>
      </c>
      <c r="B76" s="1">
        <f>$B$64*1/3+$B$70*2/3</f>
        <v>6</v>
      </c>
    </row>
    <row r="77" spans="1:4" x14ac:dyDescent="0.3">
      <c r="A77" s="225" t="s">
        <v>536</v>
      </c>
      <c r="B77" s="225"/>
    </row>
    <row r="78" spans="1:4" x14ac:dyDescent="0.3">
      <c r="A78" s="225"/>
      <c r="B78" s="225"/>
      <c r="D78" s="1" t="s">
        <v>535</v>
      </c>
    </row>
    <row r="79" spans="1:4" x14ac:dyDescent="0.3">
      <c r="A79" s="225"/>
      <c r="B79" s="225"/>
    </row>
    <row r="80" spans="1:4" x14ac:dyDescent="0.3">
      <c r="A80" s="225"/>
      <c r="B80" s="225"/>
    </row>
    <row r="81" spans="1:8" ht="14.4" thickBot="1" x14ac:dyDescent="0.35"/>
    <row r="82" spans="1:8" ht="16.2" thickBot="1" x14ac:dyDescent="0.35">
      <c r="A82" s="291" t="s">
        <v>16</v>
      </c>
      <c r="B82" s="292"/>
      <c r="C82" s="292"/>
      <c r="D82" s="298"/>
      <c r="E82" s="298"/>
      <c r="F82" s="298"/>
      <c r="G82" s="292"/>
      <c r="H82" s="293"/>
    </row>
    <row r="83" spans="1:8" ht="27.6" x14ac:dyDescent="0.3">
      <c r="B83" s="1" t="s">
        <v>538</v>
      </c>
      <c r="C83" s="1" t="s">
        <v>539</v>
      </c>
    </row>
    <row r="84" spans="1:8" x14ac:dyDescent="0.3">
      <c r="A84" s="1" t="s">
        <v>3</v>
      </c>
      <c r="B84" s="1">
        <v>62900</v>
      </c>
      <c r="C84" s="1">
        <v>86700</v>
      </c>
    </row>
    <row r="85" spans="1:8" ht="27.6" x14ac:dyDescent="0.3">
      <c r="A85" s="1" t="s">
        <v>4</v>
      </c>
      <c r="B85" s="1">
        <v>6200</v>
      </c>
      <c r="C85" s="1">
        <v>9400</v>
      </c>
    </row>
    <row r="89" spans="1:8" ht="14.4" thickBot="1" x14ac:dyDescent="0.35"/>
    <row r="90" spans="1:8" ht="16.2" thickBot="1" x14ac:dyDescent="0.35">
      <c r="A90" s="291" t="s">
        <v>19</v>
      </c>
      <c r="B90" s="292"/>
      <c r="C90" s="292"/>
      <c r="D90" s="298"/>
      <c r="E90" s="298"/>
      <c r="F90" s="298"/>
      <c r="G90" s="292"/>
      <c r="H90" s="293"/>
    </row>
    <row r="91" spans="1:8" x14ac:dyDescent="0.3">
      <c r="A91" s="1" t="s">
        <v>53</v>
      </c>
      <c r="B91" s="1" t="s">
        <v>54</v>
      </c>
      <c r="C91" s="1" t="s">
        <v>55</v>
      </c>
      <c r="D91" s="1" t="s">
        <v>56</v>
      </c>
    </row>
    <row r="122" spans="1:8" ht="14.4" thickBot="1" x14ac:dyDescent="0.35"/>
    <row r="123" spans="1:8" ht="16.2" thickBot="1" x14ac:dyDescent="0.35">
      <c r="A123" s="291" t="s">
        <v>34</v>
      </c>
      <c r="B123" s="292"/>
      <c r="C123" s="292"/>
      <c r="D123" s="292"/>
      <c r="E123" s="292"/>
      <c r="F123" s="292"/>
      <c r="G123" s="292"/>
      <c r="H123" s="293"/>
    </row>
    <row r="124" spans="1:8" x14ac:dyDescent="0.3">
      <c r="B124" s="1" t="s">
        <v>541</v>
      </c>
      <c r="C124" s="1" t="s">
        <v>542</v>
      </c>
    </row>
    <row r="125" spans="1:8" x14ac:dyDescent="0.3">
      <c r="A125" s="1" t="s">
        <v>477</v>
      </c>
      <c r="B125" s="1">
        <v>480</v>
      </c>
      <c r="C125" s="1">
        <v>370</v>
      </c>
    </row>
    <row r="126" spans="1:8" x14ac:dyDescent="0.3">
      <c r="A126" s="1" t="s">
        <v>463</v>
      </c>
      <c r="B126" s="1">
        <v>60</v>
      </c>
      <c r="C126" s="1">
        <v>60</v>
      </c>
    </row>
    <row r="127" spans="1:8" x14ac:dyDescent="0.3">
      <c r="A127" s="1" t="s">
        <v>540</v>
      </c>
      <c r="B127" s="1">
        <v>24</v>
      </c>
      <c r="C127" s="1">
        <v>32</v>
      </c>
    </row>
    <row r="128" spans="1:8" x14ac:dyDescent="0.3">
      <c r="A128" s="1" t="s">
        <v>268</v>
      </c>
      <c r="B128" s="1">
        <f>B127/B126</f>
        <v>0.4</v>
      </c>
      <c r="C128" s="1">
        <f>C127/C126</f>
        <v>0.53333333333333333</v>
      </c>
    </row>
    <row r="129" spans="1:8" ht="27.6" x14ac:dyDescent="0.3">
      <c r="A129" s="1" t="s">
        <v>543</v>
      </c>
      <c r="B129" s="1">
        <f>B128*B125</f>
        <v>192</v>
      </c>
      <c r="C129" s="1">
        <f>C128*C125</f>
        <v>197.33333333333334</v>
      </c>
    </row>
    <row r="130" spans="1:8" x14ac:dyDescent="0.3">
      <c r="A130" s="1" t="s">
        <v>98</v>
      </c>
      <c r="D130" s="1">
        <f>SUM(B129:C129)</f>
        <v>389.33333333333337</v>
      </c>
    </row>
    <row r="131" spans="1:8" ht="28.2" thickBot="1" x14ac:dyDescent="0.35">
      <c r="A131" s="1" t="s">
        <v>544</v>
      </c>
      <c r="D131" s="1">
        <f>SUM(B125:C125)</f>
        <v>850</v>
      </c>
    </row>
    <row r="132" spans="1:8" ht="28.2" thickBot="1" x14ac:dyDescent="0.35">
      <c r="A132" s="1" t="s">
        <v>545</v>
      </c>
      <c r="D132" s="163">
        <f>D130/D131</f>
        <v>0.45803921568627454</v>
      </c>
    </row>
    <row r="133" spans="1:8" ht="14.4" thickBot="1" x14ac:dyDescent="0.35"/>
    <row r="134" spans="1:8" ht="16.2" thickBot="1" x14ac:dyDescent="0.35">
      <c r="A134" s="291" t="s">
        <v>42</v>
      </c>
      <c r="B134" s="292"/>
      <c r="C134" s="292"/>
      <c r="D134" s="292"/>
      <c r="E134" s="292"/>
      <c r="F134" s="292"/>
      <c r="G134" s="292"/>
      <c r="H134" s="293"/>
    </row>
    <row r="135" spans="1:8" x14ac:dyDescent="0.3">
      <c r="B135" s="226" t="s">
        <v>53</v>
      </c>
      <c r="C135" s="226"/>
      <c r="D135" s="1" t="s">
        <v>54</v>
      </c>
    </row>
    <row r="136" spans="1:8" x14ac:dyDescent="0.3">
      <c r="A136" s="1" t="s">
        <v>463</v>
      </c>
      <c r="B136" s="1">
        <v>100</v>
      </c>
      <c r="C136" s="1">
        <v>200</v>
      </c>
      <c r="D136" s="1">
        <f>B139*(1-B140)/B136+C139*(1-C139)/C136</f>
        <v>6.7674999999999992E-3</v>
      </c>
    </row>
    <row r="137" spans="1:8" x14ac:dyDescent="0.3">
      <c r="A137" s="1" t="s">
        <v>546</v>
      </c>
      <c r="B137" s="1">
        <v>62</v>
      </c>
    </row>
    <row r="138" spans="1:8" ht="27.6" x14ac:dyDescent="0.3">
      <c r="A138" s="1" t="s">
        <v>547</v>
      </c>
      <c r="C138" s="1">
        <v>102</v>
      </c>
    </row>
    <row r="139" spans="1:8" x14ac:dyDescent="0.3">
      <c r="A139" s="1" t="s">
        <v>268</v>
      </c>
      <c r="B139" s="1">
        <f>B137/B136</f>
        <v>0.62</v>
      </c>
      <c r="C139" s="1">
        <f>C138/C136</f>
        <v>0.51</v>
      </c>
    </row>
    <row r="140" spans="1:8" x14ac:dyDescent="0.3">
      <c r="A140" s="1" t="s">
        <v>548</v>
      </c>
      <c r="B140" s="160">
        <f>B139-C139</f>
        <v>0.10999999999999999</v>
      </c>
    </row>
    <row r="141" spans="1:8" ht="14.4" thickBot="1" x14ac:dyDescent="0.35"/>
    <row r="142" spans="1:8" ht="16.2" thickBot="1" x14ac:dyDescent="0.35">
      <c r="A142" s="291" t="s">
        <v>45</v>
      </c>
      <c r="B142" s="292"/>
      <c r="C142" s="292"/>
      <c r="D142" s="292"/>
      <c r="E142" s="292"/>
      <c r="F142" s="292"/>
      <c r="G142" s="292"/>
      <c r="H142" s="293"/>
    </row>
    <row r="143" spans="1:8" x14ac:dyDescent="0.3">
      <c r="B143" s="1" t="s">
        <v>53</v>
      </c>
      <c r="C143" s="1" t="s">
        <v>54</v>
      </c>
    </row>
    <row r="144" spans="1:8" x14ac:dyDescent="0.3">
      <c r="A144" s="1" t="s">
        <v>463</v>
      </c>
      <c r="B144" s="1">
        <v>20</v>
      </c>
      <c r="C144" s="1">
        <v>12</v>
      </c>
    </row>
    <row r="145" spans="1:8" x14ac:dyDescent="0.3">
      <c r="A145" s="1" t="s">
        <v>549</v>
      </c>
      <c r="B145" s="1">
        <v>7</v>
      </c>
      <c r="C145" s="1">
        <v>6</v>
      </c>
    </row>
    <row r="146" spans="1:8" x14ac:dyDescent="0.3">
      <c r="A146" s="1" t="s">
        <v>268</v>
      </c>
      <c r="B146" s="1">
        <f>B145/B144</f>
        <v>0.35</v>
      </c>
      <c r="C146" s="1">
        <f>C145/C144</f>
        <v>0.5</v>
      </c>
    </row>
    <row r="147" spans="1:8" x14ac:dyDescent="0.3">
      <c r="A147" s="1" t="s">
        <v>550</v>
      </c>
      <c r="B147" s="160">
        <f>B146-C146</f>
        <v>-0.15000000000000002</v>
      </c>
    </row>
    <row r="148" spans="1:8" x14ac:dyDescent="0.3">
      <c r="C148" s="160">
        <f>B146*(1-B146)/B144+C146*(1-C146)/C144</f>
        <v>3.2208333333333332E-2</v>
      </c>
    </row>
    <row r="149" spans="1:8" ht="14.4" thickBot="1" x14ac:dyDescent="0.35"/>
    <row r="150" spans="1:8" ht="16.2" thickBot="1" x14ac:dyDescent="0.35">
      <c r="A150" s="291" t="s">
        <v>46</v>
      </c>
      <c r="B150" s="292"/>
      <c r="C150" s="292"/>
      <c r="D150" s="292"/>
      <c r="E150" s="292"/>
      <c r="F150" s="292"/>
      <c r="G150" s="292"/>
      <c r="H150" s="293"/>
    </row>
    <row r="152" spans="1:8" x14ac:dyDescent="0.3">
      <c r="A152" s="1" t="s">
        <v>463</v>
      </c>
      <c r="B152" s="1">
        <v>60</v>
      </c>
    </row>
    <row r="153" spans="1:8" x14ac:dyDescent="0.3">
      <c r="A153" s="1" t="s">
        <v>551</v>
      </c>
      <c r="B153" s="1">
        <v>4</v>
      </c>
    </row>
    <row r="154" spans="1:8" x14ac:dyDescent="0.3">
      <c r="A154" s="1" t="s">
        <v>552</v>
      </c>
      <c r="B154" s="1">
        <v>10</v>
      </c>
    </row>
    <row r="155" spans="1:8" ht="27.6" x14ac:dyDescent="0.3">
      <c r="A155" s="1" t="s">
        <v>553</v>
      </c>
      <c r="B155" s="1">
        <v>2</v>
      </c>
    </row>
    <row r="156" spans="1:8" x14ac:dyDescent="0.3">
      <c r="A156" s="1" t="s">
        <v>554</v>
      </c>
      <c r="B156" s="1">
        <f>B152-SUM(B153:B155)</f>
        <v>44</v>
      </c>
    </row>
    <row r="157" spans="1:8" x14ac:dyDescent="0.3">
      <c r="A157" s="1" t="s">
        <v>268</v>
      </c>
      <c r="B157" s="1">
        <f>B156/B152</f>
        <v>0.73333333333333328</v>
      </c>
    </row>
    <row r="158" spans="1:8" ht="14.4" thickBot="1" x14ac:dyDescent="0.35"/>
    <row r="159" spans="1:8" ht="16.2" thickBot="1" x14ac:dyDescent="0.35">
      <c r="A159" s="291" t="s">
        <v>47</v>
      </c>
      <c r="B159" s="292"/>
      <c r="C159" s="292"/>
      <c r="D159" s="292"/>
      <c r="E159" s="292"/>
      <c r="F159" s="292"/>
      <c r="G159" s="292"/>
      <c r="H159" s="293"/>
    </row>
    <row r="160" spans="1:8" x14ac:dyDescent="0.3">
      <c r="A160" s="1" t="s">
        <v>555</v>
      </c>
    </row>
    <row r="164" spans="1:8" ht="14.4" thickBot="1" x14ac:dyDescent="0.35"/>
    <row r="165" spans="1:8" ht="16.2" thickBot="1" x14ac:dyDescent="0.35">
      <c r="A165" s="291" t="s">
        <v>52</v>
      </c>
      <c r="B165" s="292"/>
      <c r="C165" s="292"/>
      <c r="D165" s="292"/>
      <c r="E165" s="292"/>
      <c r="F165" s="292"/>
      <c r="G165" s="292"/>
      <c r="H165" s="293"/>
    </row>
    <row r="166" spans="1:8" ht="15.6" x14ac:dyDescent="0.3">
      <c r="A166" s="158"/>
      <c r="B166" s="24" t="s">
        <v>53</v>
      </c>
      <c r="C166" s="158"/>
      <c r="D166" s="1" t="s">
        <v>54</v>
      </c>
      <c r="E166" s="158" t="s">
        <v>55</v>
      </c>
      <c r="F166" s="158" t="s">
        <v>56</v>
      </c>
      <c r="G166" s="158" t="s">
        <v>138</v>
      </c>
      <c r="H166" s="158"/>
    </row>
    <row r="167" spans="1:8" x14ac:dyDescent="0.3">
      <c r="B167" s="1" t="s">
        <v>532</v>
      </c>
      <c r="C167" s="1" t="s">
        <v>556</v>
      </c>
      <c r="D167" s="160">
        <f>B179*10/9</f>
        <v>5.6913580246913571E-2</v>
      </c>
      <c r="E167" s="160">
        <f>B178*10/9</f>
        <v>2.8555555555555556</v>
      </c>
      <c r="F167" s="160">
        <f>COUNTIF(B168:B177,"&gt;2,5")/10</f>
        <v>0.5</v>
      </c>
      <c r="G167" s="160">
        <f>D167*10/9</f>
        <v>6.323731138545953E-2</v>
      </c>
    </row>
    <row r="168" spans="1:8" x14ac:dyDescent="0.3">
      <c r="A168" s="1">
        <v>1</v>
      </c>
      <c r="B168" s="1">
        <v>2.2000000000000002</v>
      </c>
      <c r="C168" s="1">
        <f t="shared" ref="C168:C177" si="3">(B168-$B$178)^2</f>
        <v>0.13689999999999974</v>
      </c>
    </row>
    <row r="169" spans="1:8" x14ac:dyDescent="0.3">
      <c r="A169" s="1">
        <v>2</v>
      </c>
      <c r="B169" s="1">
        <v>2.8</v>
      </c>
      <c r="C169" s="1">
        <f t="shared" si="3"/>
        <v>5.2899999999999989E-2</v>
      </c>
    </row>
    <row r="170" spans="1:8" x14ac:dyDescent="0.3">
      <c r="A170" s="1">
        <v>3</v>
      </c>
      <c r="B170" s="1">
        <v>3</v>
      </c>
      <c r="C170" s="1">
        <f t="shared" si="3"/>
        <v>0.18490000000000015</v>
      </c>
    </row>
    <row r="171" spans="1:8" x14ac:dyDescent="0.3">
      <c r="A171" s="1">
        <v>4</v>
      </c>
      <c r="B171" s="1">
        <v>2.5</v>
      </c>
      <c r="C171" s="1">
        <f t="shared" si="3"/>
        <v>4.8999999999999773E-3</v>
      </c>
    </row>
    <row r="172" spans="1:8" x14ac:dyDescent="0.3">
      <c r="A172" s="1">
        <v>5</v>
      </c>
      <c r="B172" s="1">
        <v>2.4</v>
      </c>
      <c r="C172" s="1">
        <f t="shared" si="3"/>
        <v>2.8899999999999974E-2</v>
      </c>
    </row>
    <row r="173" spans="1:8" ht="14.4" x14ac:dyDescent="0.3">
      <c r="A173" s="1">
        <v>6</v>
      </c>
      <c r="B173" s="1">
        <v>2.6</v>
      </c>
      <c r="C173" s="1">
        <f t="shared" si="3"/>
        <v>9.0000000000001494E-4</v>
      </c>
      <c r="E173"/>
    </row>
    <row r="174" spans="1:8" x14ac:dyDescent="0.3">
      <c r="A174" s="1">
        <v>7</v>
      </c>
      <c r="B174" s="1">
        <v>2.5</v>
      </c>
      <c r="C174" s="1">
        <f t="shared" si="3"/>
        <v>4.8999999999999773E-3</v>
      </c>
    </row>
    <row r="175" spans="1:8" x14ac:dyDescent="0.3">
      <c r="A175" s="1">
        <v>8</v>
      </c>
      <c r="B175" s="1">
        <v>2.4</v>
      </c>
      <c r="C175" s="1">
        <f t="shared" si="3"/>
        <v>2.8899999999999974E-2</v>
      </c>
    </row>
    <row r="176" spans="1:8" x14ac:dyDescent="0.3">
      <c r="A176" s="1">
        <v>9</v>
      </c>
      <c r="B176" s="1">
        <v>2.7</v>
      </c>
      <c r="C176" s="1">
        <f t="shared" si="3"/>
        <v>1.6900000000000089E-2</v>
      </c>
    </row>
    <row r="177" spans="1:9" x14ac:dyDescent="0.3">
      <c r="A177" s="1">
        <v>10</v>
      </c>
      <c r="B177" s="1">
        <v>2.6</v>
      </c>
      <c r="C177" s="1">
        <f t="shared" si="3"/>
        <v>9.0000000000001494E-4</v>
      </c>
    </row>
    <row r="178" spans="1:9" x14ac:dyDescent="0.3">
      <c r="A178" s="1" t="s">
        <v>3</v>
      </c>
      <c r="B178" s="160">
        <f>AVERAGE(B168:B177)</f>
        <v>2.57</v>
      </c>
    </row>
    <row r="179" spans="1:9" x14ac:dyDescent="0.3">
      <c r="A179" s="1" t="s">
        <v>134</v>
      </c>
      <c r="B179" s="1">
        <f>VAR(B168:B177)</f>
        <v>5.1222222222222211E-2</v>
      </c>
      <c r="C179" s="1">
        <f>SUM(C168:C177)/9</f>
        <v>5.1222222222222211E-2</v>
      </c>
    </row>
    <row r="180" spans="1:9" ht="27.6" x14ac:dyDescent="0.3">
      <c r="A180" s="1" t="s">
        <v>4</v>
      </c>
      <c r="B180" s="1">
        <f>STDEV(B168:B177)</f>
        <v>0.22632326929023938</v>
      </c>
      <c r="C180" s="1">
        <f>SQRT(C179)</f>
        <v>0.22632326929023938</v>
      </c>
    </row>
    <row r="181" spans="1:9" ht="14.4" thickBot="1" x14ac:dyDescent="0.35"/>
    <row r="182" spans="1:9" ht="16.2" thickBot="1" x14ac:dyDescent="0.35">
      <c r="A182" s="291" t="s">
        <v>61</v>
      </c>
      <c r="B182" s="292"/>
      <c r="C182" s="292"/>
      <c r="D182" s="292"/>
      <c r="E182" s="292"/>
      <c r="F182" s="292"/>
      <c r="G182" s="292"/>
      <c r="H182" s="293"/>
      <c r="I182" s="294" t="s">
        <v>557</v>
      </c>
    </row>
    <row r="183" spans="1:9" ht="15.6" x14ac:dyDescent="0.3">
      <c r="A183" s="24"/>
      <c r="B183" s="46" t="s">
        <v>53</v>
      </c>
      <c r="C183" s="46" t="s">
        <v>54</v>
      </c>
      <c r="D183" s="46" t="s">
        <v>55</v>
      </c>
      <c r="E183" s="46" t="s">
        <v>56</v>
      </c>
      <c r="F183" s="46" t="s">
        <v>138</v>
      </c>
      <c r="G183" s="24"/>
      <c r="H183" s="24"/>
      <c r="I183" s="294"/>
    </row>
    <row r="184" spans="1:9" x14ac:dyDescent="0.3">
      <c r="B184" s="1" t="s">
        <v>532</v>
      </c>
      <c r="C184" s="1" t="s">
        <v>556</v>
      </c>
      <c r="D184" s="164">
        <f>C198/12</f>
        <v>7.1433080808080804</v>
      </c>
      <c r="E184" s="164">
        <f>COUNTIF(B185:B196,"&gt;30")/12</f>
        <v>0.25</v>
      </c>
      <c r="F184" s="164">
        <f>C198*E184/1200</f>
        <v>1.7858270202020202E-2</v>
      </c>
      <c r="I184" s="294"/>
    </row>
    <row r="185" spans="1:9" x14ac:dyDescent="0.3">
      <c r="A185" s="1">
        <v>1</v>
      </c>
      <c r="B185" s="1">
        <v>22</v>
      </c>
      <c r="C185" s="1">
        <f t="shared" ref="C185:C196" si="4">(B185-$B$197)^2</f>
        <v>5.8402777777777839</v>
      </c>
      <c r="I185" s="294"/>
    </row>
    <row r="186" spans="1:9" x14ac:dyDescent="0.3">
      <c r="A186" s="1">
        <v>2</v>
      </c>
      <c r="B186" s="1">
        <v>16</v>
      </c>
      <c r="C186" s="1">
        <f t="shared" si="4"/>
        <v>70.8402777777778</v>
      </c>
      <c r="I186" s="294"/>
    </row>
    <row r="187" spans="1:9" x14ac:dyDescent="0.3">
      <c r="A187" s="1">
        <v>3</v>
      </c>
      <c r="B187" s="1">
        <v>28</v>
      </c>
      <c r="C187" s="1">
        <f t="shared" si="4"/>
        <v>12.84027777777777</v>
      </c>
      <c r="I187" s="294"/>
    </row>
    <row r="188" spans="1:9" x14ac:dyDescent="0.3">
      <c r="A188" s="1">
        <v>4</v>
      </c>
      <c r="B188" s="1">
        <v>12</v>
      </c>
      <c r="C188" s="1">
        <f t="shared" si="4"/>
        <v>154.17361111111114</v>
      </c>
      <c r="I188" s="294"/>
    </row>
    <row r="189" spans="1:9" x14ac:dyDescent="0.3">
      <c r="A189" s="1">
        <v>5</v>
      </c>
      <c r="B189" s="1">
        <v>18</v>
      </c>
      <c r="C189" s="1">
        <f t="shared" si="4"/>
        <v>41.173611111111128</v>
      </c>
      <c r="I189" s="294"/>
    </row>
    <row r="190" spans="1:9" x14ac:dyDescent="0.3">
      <c r="A190" s="1">
        <v>6</v>
      </c>
      <c r="B190" s="1">
        <v>36</v>
      </c>
      <c r="C190" s="1">
        <f t="shared" si="4"/>
        <v>134.17361111111109</v>
      </c>
      <c r="I190" s="294"/>
    </row>
    <row r="191" spans="1:9" x14ac:dyDescent="0.3">
      <c r="A191" s="1">
        <v>7</v>
      </c>
      <c r="B191" s="1">
        <v>23</v>
      </c>
      <c r="C191" s="1">
        <f t="shared" si="4"/>
        <v>2.0069444444444478</v>
      </c>
      <c r="I191" s="294"/>
    </row>
    <row r="192" spans="1:9" x14ac:dyDescent="0.3">
      <c r="A192" s="1">
        <v>8</v>
      </c>
      <c r="B192" s="1">
        <v>11</v>
      </c>
      <c r="C192" s="1">
        <f t="shared" si="4"/>
        <v>180.00694444444449</v>
      </c>
      <c r="I192" s="294"/>
    </row>
    <row r="193" spans="1:9" x14ac:dyDescent="0.3">
      <c r="A193" s="1">
        <v>9</v>
      </c>
      <c r="B193" s="1">
        <v>41</v>
      </c>
      <c r="C193" s="1">
        <f t="shared" si="4"/>
        <v>275.0069444444444</v>
      </c>
      <c r="I193" s="294"/>
    </row>
    <row r="194" spans="1:9" x14ac:dyDescent="0.3">
      <c r="A194" s="1">
        <v>10</v>
      </c>
      <c r="B194" s="1">
        <v>29</v>
      </c>
      <c r="C194" s="1">
        <f t="shared" si="4"/>
        <v>21.006944444444432</v>
      </c>
      <c r="I194" s="294"/>
    </row>
    <row r="195" spans="1:9" x14ac:dyDescent="0.3">
      <c r="A195" s="1">
        <v>11</v>
      </c>
      <c r="B195" s="1">
        <v>26</v>
      </c>
      <c r="C195" s="1">
        <f t="shared" si="4"/>
        <v>2.5069444444444406</v>
      </c>
      <c r="I195" s="294"/>
    </row>
    <row r="196" spans="1:9" x14ac:dyDescent="0.3">
      <c r="A196" s="1">
        <v>12</v>
      </c>
      <c r="B196" s="1">
        <v>31</v>
      </c>
      <c r="C196" s="1">
        <f t="shared" si="4"/>
        <v>43.340277777777764</v>
      </c>
      <c r="I196" s="294"/>
    </row>
    <row r="197" spans="1:9" x14ac:dyDescent="0.3">
      <c r="A197" s="1" t="s">
        <v>3</v>
      </c>
      <c r="B197" s="161">
        <f>AVERAGE(B185:B196)</f>
        <v>24.416666666666668</v>
      </c>
      <c r="I197" s="294"/>
    </row>
    <row r="198" spans="1:9" x14ac:dyDescent="0.3">
      <c r="A198" s="1" t="s">
        <v>134</v>
      </c>
      <c r="B198" s="160">
        <f>VAR(B185:B196)</f>
        <v>85.719696969696997</v>
      </c>
      <c r="C198" s="160">
        <f>SUM(C185:C196)/11</f>
        <v>85.719696969696969</v>
      </c>
      <c r="I198" s="294"/>
    </row>
    <row r="199" spans="1:9" ht="27.6" x14ac:dyDescent="0.3">
      <c r="A199" s="1" t="s">
        <v>4</v>
      </c>
      <c r="B199" s="160">
        <f>STDEV(B185:B196)</f>
        <v>9.2584932343063784</v>
      </c>
      <c r="C199" s="160">
        <f>SQRT(C198)</f>
        <v>9.2584932343063784</v>
      </c>
      <c r="I199" s="294"/>
    </row>
    <row r="200" spans="1:9" ht="14.4" thickBot="1" x14ac:dyDescent="0.35"/>
    <row r="201" spans="1:9" ht="16.2" thickBot="1" x14ac:dyDescent="0.35">
      <c r="A201" s="291" t="s">
        <v>81</v>
      </c>
      <c r="B201" s="292"/>
      <c r="C201" s="292"/>
      <c r="D201" s="292"/>
      <c r="E201" s="292"/>
      <c r="F201" s="292"/>
      <c r="G201" s="292"/>
      <c r="H201" s="293"/>
    </row>
    <row r="202" spans="1:9" x14ac:dyDescent="0.3">
      <c r="B202" s="1" t="s">
        <v>53</v>
      </c>
      <c r="C202" s="1" t="s">
        <v>54</v>
      </c>
    </row>
    <row r="203" spans="1:9" x14ac:dyDescent="0.3">
      <c r="C203" s="1" t="s">
        <v>558</v>
      </c>
    </row>
    <row r="204" spans="1:9" ht="14.4" thickBot="1" x14ac:dyDescent="0.35"/>
    <row r="205" spans="1:9" ht="16.2" thickBot="1" x14ac:dyDescent="0.35">
      <c r="A205" s="291" t="s">
        <v>90</v>
      </c>
      <c r="B205" s="292"/>
      <c r="C205" s="292"/>
      <c r="D205" s="292"/>
      <c r="E205" s="292"/>
      <c r="F205" s="292"/>
      <c r="G205" s="292"/>
      <c r="H205" s="293"/>
    </row>
    <row r="207" spans="1:9" ht="27.6" customHeight="1" x14ac:dyDescent="0.3">
      <c r="A207" s="1" t="s">
        <v>560</v>
      </c>
      <c r="B207" s="1" t="s">
        <v>559</v>
      </c>
      <c r="C207" s="225" t="s">
        <v>561</v>
      </c>
      <c r="D207" s="225"/>
      <c r="E207" s="1" t="s">
        <v>560</v>
      </c>
      <c r="F207" s="1" t="s">
        <v>562</v>
      </c>
      <c r="G207" s="1" t="s">
        <v>563</v>
      </c>
    </row>
    <row r="208" spans="1:9" ht="14.4" thickBot="1" x14ac:dyDescent="0.35"/>
    <row r="209" spans="1:8" ht="16.2" thickBot="1" x14ac:dyDescent="0.35">
      <c r="A209" s="291" t="s">
        <v>100</v>
      </c>
      <c r="B209" s="292"/>
      <c r="C209" s="292"/>
      <c r="D209" s="292"/>
      <c r="E209" s="292"/>
      <c r="F209" s="292"/>
      <c r="G209" s="292"/>
      <c r="H209" s="293"/>
    </row>
    <row r="210" spans="1:8" ht="27.6" x14ac:dyDescent="0.3">
      <c r="B210" s="1" t="s">
        <v>564</v>
      </c>
      <c r="F210" s="1" t="s">
        <v>565</v>
      </c>
    </row>
    <row r="211" spans="1:8" x14ac:dyDescent="0.3">
      <c r="A211" s="1">
        <v>1</v>
      </c>
      <c r="B211" s="1">
        <v>62</v>
      </c>
      <c r="E211" s="1">
        <v>1</v>
      </c>
      <c r="F211" s="1">
        <v>73</v>
      </c>
    </row>
    <row r="212" spans="1:8" x14ac:dyDescent="0.3">
      <c r="A212" s="1">
        <v>2</v>
      </c>
      <c r="B212" s="1">
        <v>57</v>
      </c>
      <c r="E212" s="1">
        <v>2</v>
      </c>
      <c r="F212" s="1">
        <v>79</v>
      </c>
    </row>
    <row r="213" spans="1:8" x14ac:dyDescent="0.3">
      <c r="A213" s="1">
        <v>3</v>
      </c>
      <c r="B213" s="1">
        <v>85</v>
      </c>
      <c r="E213" s="1">
        <v>3</v>
      </c>
      <c r="F213" s="1">
        <v>73</v>
      </c>
    </row>
    <row r="214" spans="1:8" x14ac:dyDescent="0.3">
      <c r="A214" s="1">
        <v>4</v>
      </c>
      <c r="B214" s="1">
        <v>59</v>
      </c>
      <c r="E214" s="1">
        <v>4</v>
      </c>
      <c r="F214" s="1">
        <v>62</v>
      </c>
    </row>
    <row r="215" spans="1:8" x14ac:dyDescent="0.3">
      <c r="A215" s="1">
        <v>5</v>
      </c>
      <c r="B215" s="1">
        <v>64</v>
      </c>
      <c r="E215" s="1">
        <v>5</v>
      </c>
      <c r="F215" s="1">
        <v>51</v>
      </c>
    </row>
    <row r="216" spans="1:8" x14ac:dyDescent="0.3">
      <c r="A216" s="1">
        <v>6</v>
      </c>
      <c r="B216" s="1">
        <v>63</v>
      </c>
      <c r="E216" s="1">
        <v>6</v>
      </c>
      <c r="F216" s="1">
        <v>60</v>
      </c>
    </row>
    <row r="217" spans="1:8" x14ac:dyDescent="0.3">
      <c r="A217" s="1">
        <v>7</v>
      </c>
      <c r="B217" s="1">
        <v>71</v>
      </c>
      <c r="E217" s="1">
        <v>7</v>
      </c>
      <c r="F217" s="1">
        <v>57</v>
      </c>
    </row>
    <row r="218" spans="1:8" x14ac:dyDescent="0.3">
      <c r="A218" s="1">
        <v>8</v>
      </c>
      <c r="B218" s="1">
        <v>58</v>
      </c>
      <c r="E218" s="1">
        <v>8</v>
      </c>
      <c r="F218" s="1">
        <v>59</v>
      </c>
    </row>
    <row r="219" spans="1:8" x14ac:dyDescent="0.3">
      <c r="A219" s="1">
        <v>9</v>
      </c>
      <c r="B219" s="1">
        <v>77</v>
      </c>
      <c r="F219" s="1">
        <f>AVERAGE(F211:F218)</f>
        <v>64.25</v>
      </c>
    </row>
    <row r="220" spans="1:8" x14ac:dyDescent="0.3">
      <c r="A220" s="1">
        <v>10</v>
      </c>
      <c r="B220" s="1">
        <v>72</v>
      </c>
    </row>
    <row r="221" spans="1:8" x14ac:dyDescent="0.3">
      <c r="B221" s="1">
        <f>AVERAGE(B211:B220)</f>
        <v>66.8</v>
      </c>
    </row>
    <row r="223" spans="1:8" x14ac:dyDescent="0.3">
      <c r="A223" s="1" t="s">
        <v>53</v>
      </c>
      <c r="B223" s="225" t="s">
        <v>54</v>
      </c>
      <c r="C223" s="225"/>
    </row>
    <row r="224" spans="1:8" x14ac:dyDescent="0.3">
      <c r="A224" s="160">
        <f>B221-F219</f>
        <v>2.5499999999999972</v>
      </c>
      <c r="B224" s="1" t="s">
        <v>567</v>
      </c>
      <c r="C224" s="1" t="s">
        <v>566</v>
      </c>
    </row>
    <row r="225" spans="1:8" x14ac:dyDescent="0.3">
      <c r="B225" s="1">
        <f>COUNTIF(B211:B220,"&gt;70")/10</f>
        <v>0.4</v>
      </c>
      <c r="C225" s="1">
        <f>COUNTIF(F211:F218,"&gt;70")/8</f>
        <v>0.375</v>
      </c>
    </row>
    <row r="226" spans="1:8" x14ac:dyDescent="0.3">
      <c r="B226" s="1" t="s">
        <v>548</v>
      </c>
      <c r="C226" s="160">
        <f>B225-C225</f>
        <v>2.5000000000000022E-2</v>
      </c>
    </row>
    <row r="227" spans="1:8" ht="14.4" thickBot="1" x14ac:dyDescent="0.35"/>
    <row r="228" spans="1:8" ht="16.2" thickBot="1" x14ac:dyDescent="0.35">
      <c r="A228" s="291" t="s">
        <v>208</v>
      </c>
      <c r="B228" s="292"/>
      <c r="C228" s="292"/>
      <c r="D228" s="292"/>
      <c r="E228" s="292"/>
      <c r="F228" s="292"/>
      <c r="G228" s="292"/>
      <c r="H228" s="293"/>
    </row>
    <row r="229" spans="1:8" x14ac:dyDescent="0.3">
      <c r="B229" s="1" t="s">
        <v>297</v>
      </c>
      <c r="E229" s="1" t="s">
        <v>289</v>
      </c>
    </row>
    <row r="230" spans="1:8" x14ac:dyDescent="0.3">
      <c r="A230" s="1">
        <v>1</v>
      </c>
      <c r="B230" s="1">
        <v>27.2</v>
      </c>
      <c r="D230" s="1">
        <v>1</v>
      </c>
      <c r="E230" s="1">
        <v>24.2</v>
      </c>
    </row>
    <row r="231" spans="1:8" x14ac:dyDescent="0.3">
      <c r="A231" s="1">
        <v>2</v>
      </c>
      <c r="B231" s="1">
        <v>27.2</v>
      </c>
      <c r="D231" s="1">
        <v>2</v>
      </c>
      <c r="E231" s="1">
        <v>24.3</v>
      </c>
    </row>
    <row r="232" spans="1:8" x14ac:dyDescent="0.3">
      <c r="A232" s="1">
        <v>3</v>
      </c>
      <c r="B232" s="1">
        <v>26.8</v>
      </c>
      <c r="D232" s="1">
        <v>3</v>
      </c>
      <c r="E232" s="1">
        <v>25.3</v>
      </c>
    </row>
    <row r="233" spans="1:8" x14ac:dyDescent="0.3">
      <c r="A233" s="1">
        <v>4</v>
      </c>
      <c r="B233" s="1">
        <v>26.9</v>
      </c>
      <c r="D233" s="1">
        <v>4</v>
      </c>
      <c r="E233" s="1">
        <v>24.8</v>
      </c>
    </row>
    <row r="234" spans="1:8" x14ac:dyDescent="0.3">
      <c r="A234" s="1">
        <v>5</v>
      </c>
      <c r="B234" s="1">
        <v>25.3</v>
      </c>
      <c r="D234" s="1">
        <v>5</v>
      </c>
      <c r="E234" s="1">
        <v>25.1</v>
      </c>
    </row>
    <row r="235" spans="1:8" x14ac:dyDescent="0.3">
      <c r="A235" s="1">
        <v>6</v>
      </c>
      <c r="B235" s="1">
        <v>26</v>
      </c>
      <c r="D235" s="1">
        <v>6</v>
      </c>
      <c r="E235" s="1">
        <v>25</v>
      </c>
    </row>
    <row r="236" spans="1:8" x14ac:dyDescent="0.3">
      <c r="A236" s="1">
        <v>7</v>
      </c>
      <c r="B236" s="1">
        <v>26.4</v>
      </c>
      <c r="D236" s="1">
        <v>7</v>
      </c>
      <c r="E236" s="1">
        <v>24.9</v>
      </c>
    </row>
    <row r="237" spans="1:8" x14ac:dyDescent="0.3">
      <c r="A237" s="1">
        <v>8</v>
      </c>
      <c r="B237" s="1">
        <v>25.7</v>
      </c>
      <c r="D237" s="1">
        <v>8</v>
      </c>
      <c r="E237" s="1">
        <v>23.9</v>
      </c>
    </row>
    <row r="238" spans="1:8" x14ac:dyDescent="0.3">
      <c r="A238" s="1">
        <v>9</v>
      </c>
      <c r="B238" s="1">
        <v>28.1</v>
      </c>
      <c r="D238" s="1">
        <v>9</v>
      </c>
      <c r="E238" s="1">
        <v>26</v>
      </c>
    </row>
    <row r="239" spans="1:8" x14ac:dyDescent="0.3">
      <c r="A239" s="1">
        <v>10</v>
      </c>
      <c r="B239" s="1">
        <v>25.7</v>
      </c>
      <c r="D239" s="1">
        <v>10</v>
      </c>
      <c r="E239" s="1">
        <v>26.1</v>
      </c>
    </row>
    <row r="240" spans="1:8" x14ac:dyDescent="0.3">
      <c r="A240" s="1" t="s">
        <v>3</v>
      </c>
      <c r="B240" s="1">
        <f>AVERAGE(B239)</f>
        <v>25.7</v>
      </c>
      <c r="D240" s="1">
        <v>11</v>
      </c>
      <c r="E240" s="1">
        <v>26</v>
      </c>
    </row>
    <row r="241" spans="1:8" x14ac:dyDescent="0.3">
      <c r="D241" s="1">
        <v>12</v>
      </c>
      <c r="E241" s="1">
        <v>26.3</v>
      </c>
    </row>
    <row r="242" spans="1:8" x14ac:dyDescent="0.3">
      <c r="D242" s="1" t="s">
        <v>3</v>
      </c>
      <c r="E242" s="1">
        <f>AVERAGE(E230:E241)</f>
        <v>25.158333333333335</v>
      </c>
    </row>
    <row r="244" spans="1:8" x14ac:dyDescent="0.3">
      <c r="A244" s="1" t="s">
        <v>53</v>
      </c>
      <c r="B244" s="225" t="s">
        <v>54</v>
      </c>
      <c r="C244" s="225"/>
    </row>
    <row r="245" spans="1:8" x14ac:dyDescent="0.3">
      <c r="A245" s="1">
        <f>B240-E242</f>
        <v>0.5416666666666643</v>
      </c>
      <c r="B245" s="1" t="s">
        <v>297</v>
      </c>
      <c r="C245" s="1" t="s">
        <v>289</v>
      </c>
    </row>
    <row r="246" spans="1:8" x14ac:dyDescent="0.3">
      <c r="B246" s="1">
        <f>COUNTIF(B230:B239,"&gt;25,5")/10</f>
        <v>0.9</v>
      </c>
      <c r="C246" s="1">
        <f>COUNTIF(E230:E241,"&gt;25,5")/12</f>
        <v>0.33333333333333331</v>
      </c>
    </row>
    <row r="247" spans="1:8" x14ac:dyDescent="0.3">
      <c r="C247" s="1">
        <f>B246-C246</f>
        <v>0.56666666666666665</v>
      </c>
    </row>
    <row r="248" spans="1:8" ht="14.4" thickBot="1" x14ac:dyDescent="0.35"/>
    <row r="249" spans="1:8" ht="16.2" thickBot="1" x14ac:dyDescent="0.35">
      <c r="A249" s="291" t="s">
        <v>174</v>
      </c>
      <c r="B249" s="292"/>
      <c r="C249" s="292"/>
      <c r="D249" s="292"/>
      <c r="E249" s="292"/>
      <c r="F249" s="292"/>
      <c r="G249" s="292"/>
      <c r="H249" s="293"/>
    </row>
    <row r="250" spans="1:8" s="166" customFormat="1" ht="15.6" x14ac:dyDescent="0.3">
      <c r="A250" s="165"/>
      <c r="B250" s="165"/>
      <c r="C250" s="165"/>
      <c r="D250" s="165"/>
      <c r="E250" s="165"/>
      <c r="F250" s="165"/>
      <c r="G250" s="165"/>
      <c r="H250" s="165"/>
    </row>
  </sheetData>
  <mergeCells count="50">
    <mergeCell ref="A150:H150"/>
    <mergeCell ref="A159:H159"/>
    <mergeCell ref="A82:H82"/>
    <mergeCell ref="A90:H90"/>
    <mergeCell ref="A123:H123"/>
    <mergeCell ref="A134:H134"/>
    <mergeCell ref="B135:C135"/>
    <mergeCell ref="A142:H142"/>
    <mergeCell ref="A48:H48"/>
    <mergeCell ref="A66:A69"/>
    <mergeCell ref="A60:A63"/>
    <mergeCell ref="A77:B80"/>
    <mergeCell ref="F34:G34"/>
    <mergeCell ref="D34:E34"/>
    <mergeCell ref="F35:G35"/>
    <mergeCell ref="D33:E33"/>
    <mergeCell ref="F33:G33"/>
    <mergeCell ref="D19:E19"/>
    <mergeCell ref="D20:E20"/>
    <mergeCell ref="D21:E21"/>
    <mergeCell ref="D18:E18"/>
    <mergeCell ref="B32:E32"/>
    <mergeCell ref="G5:H5"/>
    <mergeCell ref="G6:H6"/>
    <mergeCell ref="A16:H16"/>
    <mergeCell ref="F17:G17"/>
    <mergeCell ref="F18:G18"/>
    <mergeCell ref="B17:C17"/>
    <mergeCell ref="D17:E17"/>
    <mergeCell ref="F19:G19"/>
    <mergeCell ref="A31:H31"/>
    <mergeCell ref="F32:G32"/>
    <mergeCell ref="A1:H1"/>
    <mergeCell ref="D3:F3"/>
    <mergeCell ref="D4:F4"/>
    <mergeCell ref="B2:F2"/>
    <mergeCell ref="G2:H2"/>
    <mergeCell ref="G4:H4"/>
    <mergeCell ref="G3:H3"/>
    <mergeCell ref="A165:H165"/>
    <mergeCell ref="A182:H182"/>
    <mergeCell ref="A201:H201"/>
    <mergeCell ref="I182:I199"/>
    <mergeCell ref="A205:H205"/>
    <mergeCell ref="A249:H249"/>
    <mergeCell ref="C207:D207"/>
    <mergeCell ref="A209:H209"/>
    <mergeCell ref="B223:C223"/>
    <mergeCell ref="A228:H228"/>
    <mergeCell ref="B244:C24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2"/>
  <sheetViews>
    <sheetView topLeftCell="A915" workbookViewId="0">
      <selection activeCell="A931" sqref="A931:C931"/>
    </sheetView>
  </sheetViews>
  <sheetFormatPr defaultColWidth="8.88671875" defaultRowHeight="13.8" x14ac:dyDescent="0.3"/>
  <cols>
    <col min="1" max="1" width="13.5546875" style="1" customWidth="1"/>
    <col min="2" max="2" width="12.88671875" style="1" customWidth="1"/>
    <col min="3" max="3" width="14.33203125" style="1" customWidth="1"/>
    <col min="4" max="5" width="13.109375" style="1" customWidth="1"/>
    <col min="6" max="6" width="12.88671875" style="1" bestFit="1" customWidth="1"/>
    <col min="7" max="7" width="11.88671875" style="1" bestFit="1" customWidth="1"/>
    <col min="8" max="8" width="11.5546875" style="1" bestFit="1" customWidth="1"/>
    <col min="9" max="11" width="8.88671875" style="1"/>
    <col min="12" max="12" width="11.44140625" style="1" bestFit="1" customWidth="1"/>
    <col min="13" max="16384" width="8.88671875" style="1"/>
  </cols>
  <sheetData>
    <row r="1" spans="1:8" ht="16.2" thickBot="1" x14ac:dyDescent="0.35">
      <c r="A1" s="304" t="s">
        <v>0</v>
      </c>
      <c r="B1" s="305"/>
      <c r="C1" s="305"/>
      <c r="D1" s="305"/>
      <c r="E1" s="305"/>
      <c r="F1" s="305"/>
      <c r="G1" s="305"/>
      <c r="H1" s="306"/>
    </row>
    <row r="2" spans="1:8" x14ac:dyDescent="0.3">
      <c r="A2" s="1" t="s">
        <v>571</v>
      </c>
      <c r="B2" s="1">
        <v>0.45</v>
      </c>
    </row>
    <row r="3" spans="1:8" x14ac:dyDescent="0.3">
      <c r="A3" s="1" t="s">
        <v>569</v>
      </c>
      <c r="B3" s="1">
        <v>25</v>
      </c>
    </row>
    <row r="4" spans="1:8" x14ac:dyDescent="0.3">
      <c r="A4" s="1" t="s">
        <v>570</v>
      </c>
      <c r="B4" s="1">
        <v>2.9</v>
      </c>
    </row>
    <row r="5" spans="1:8" x14ac:dyDescent="0.3">
      <c r="A5" s="1" t="s">
        <v>568</v>
      </c>
      <c r="B5" s="1">
        <v>2.0640000000000001</v>
      </c>
    </row>
    <row r="7" spans="1:8" x14ac:dyDescent="0.3">
      <c r="B7" s="168" t="s">
        <v>53</v>
      </c>
      <c r="C7" s="231" t="s">
        <v>54</v>
      </c>
      <c r="D7" s="231"/>
    </row>
    <row r="8" spans="1:8" ht="15" customHeight="1" x14ac:dyDescent="0.3">
      <c r="A8" s="1" t="s">
        <v>572</v>
      </c>
      <c r="B8" s="169">
        <f>B4-B5*B2/SQRT(B3)</f>
        <v>2.7142399999999998</v>
      </c>
      <c r="C8" s="1" t="s">
        <v>568</v>
      </c>
      <c r="D8" s="1">
        <f>(B4-2.81)*SQRT(B3)/B2</f>
        <v>0.99999999999999845</v>
      </c>
    </row>
    <row r="9" spans="1:8" ht="27.6" x14ac:dyDescent="0.3">
      <c r="A9" s="1" t="s">
        <v>573</v>
      </c>
      <c r="B9" s="167">
        <f>B4+B5*B2/SQRT(B3)</f>
        <v>3.0857600000000001</v>
      </c>
      <c r="C9" s="1" t="s">
        <v>574</v>
      </c>
      <c r="D9" s="167">
        <f>TDIST(D8,24,2)</f>
        <v>0.32728688127978589</v>
      </c>
    </row>
    <row r="10" spans="1:8" ht="14.4" thickBot="1" x14ac:dyDescent="0.35"/>
    <row r="11" spans="1:8" ht="16.2" thickBot="1" x14ac:dyDescent="0.35">
      <c r="A11" s="304" t="s">
        <v>7</v>
      </c>
      <c r="B11" s="305"/>
      <c r="C11" s="305"/>
      <c r="D11" s="305"/>
      <c r="E11" s="305"/>
      <c r="F11" s="305"/>
      <c r="G11" s="305"/>
      <c r="H11" s="306"/>
    </row>
    <row r="12" spans="1:8" x14ac:dyDescent="0.3">
      <c r="A12" s="1" t="s">
        <v>571</v>
      </c>
      <c r="B12" s="1">
        <v>0.12</v>
      </c>
    </row>
    <row r="13" spans="1:8" x14ac:dyDescent="0.3">
      <c r="A13" s="1" t="s">
        <v>569</v>
      </c>
      <c r="B13" s="1">
        <v>16</v>
      </c>
      <c r="C13" s="1">
        <v>20</v>
      </c>
    </row>
    <row r="14" spans="1:8" x14ac:dyDescent="0.3">
      <c r="A14" s="1" t="s">
        <v>575</v>
      </c>
      <c r="B14" s="1">
        <v>4.07</v>
      </c>
    </row>
    <row r="15" spans="1:8" x14ac:dyDescent="0.3">
      <c r="A15" s="1" t="s">
        <v>568</v>
      </c>
      <c r="B15" s="1">
        <f>TINV(0.01,15)</f>
        <v>2.9467128834752381</v>
      </c>
    </row>
    <row r="17" spans="1:8" x14ac:dyDescent="0.3">
      <c r="B17" s="168" t="s">
        <v>53</v>
      </c>
      <c r="C17" s="168" t="s">
        <v>54</v>
      </c>
      <c r="D17" s="168" t="s">
        <v>55</v>
      </c>
      <c r="E17" s="168" t="s">
        <v>56</v>
      </c>
    </row>
    <row r="18" spans="1:8" x14ac:dyDescent="0.3">
      <c r="A18" s="1" t="s">
        <v>572</v>
      </c>
      <c r="B18" s="167">
        <f>B14-B12*B15/SQRT(B13)</f>
        <v>3.9815986134957431</v>
      </c>
      <c r="C18" s="167" t="s">
        <v>576</v>
      </c>
      <c r="D18" s="167" t="s">
        <v>576</v>
      </c>
      <c r="E18" s="167" t="s">
        <v>577</v>
      </c>
    </row>
    <row r="19" spans="1:8" x14ac:dyDescent="0.3">
      <c r="A19" s="1" t="s">
        <v>573</v>
      </c>
      <c r="B19" s="167">
        <f>B14+B12*B15/SQRT(B13)</f>
        <v>4.1584013865042575</v>
      </c>
    </row>
    <row r="20" spans="1:8" ht="14.4" thickBot="1" x14ac:dyDescent="0.35"/>
    <row r="21" spans="1:8" ht="16.2" thickBot="1" x14ac:dyDescent="0.35">
      <c r="A21" s="304" t="s">
        <v>11</v>
      </c>
      <c r="B21" s="305"/>
      <c r="C21" s="305"/>
      <c r="D21" s="305"/>
      <c r="E21" s="305"/>
      <c r="F21" s="305"/>
      <c r="G21" s="305"/>
      <c r="H21" s="306"/>
    </row>
    <row r="22" spans="1:8" x14ac:dyDescent="0.3">
      <c r="A22" s="1" t="s">
        <v>578</v>
      </c>
      <c r="B22" s="1">
        <v>3.8</v>
      </c>
    </row>
    <row r="23" spans="1:8" x14ac:dyDescent="0.3">
      <c r="A23" s="1" t="s">
        <v>569</v>
      </c>
      <c r="B23" s="1">
        <v>9</v>
      </c>
    </row>
    <row r="24" spans="1:8" x14ac:dyDescent="0.3">
      <c r="A24" s="1" t="s">
        <v>571</v>
      </c>
      <c r="B24" s="1">
        <f>C40</f>
        <v>2.7924004010886407</v>
      </c>
    </row>
    <row r="25" spans="1:8" x14ac:dyDescent="0.3">
      <c r="A25" s="1" t="s">
        <v>575</v>
      </c>
      <c r="B25" s="1">
        <f>B38</f>
        <v>16.766666666666666</v>
      </c>
    </row>
    <row r="26" spans="1:8" x14ac:dyDescent="0.3">
      <c r="A26" s="1" t="s">
        <v>568</v>
      </c>
      <c r="B26" s="1">
        <f>TINV(0.01,8)</f>
        <v>3.3553873313333953</v>
      </c>
    </row>
    <row r="28" spans="1:8" ht="16.95" customHeight="1" x14ac:dyDescent="0.3">
      <c r="B28" s="1" t="s">
        <v>532</v>
      </c>
    </row>
    <row r="29" spans="1:8" x14ac:dyDescent="0.3">
      <c r="A29" s="1">
        <v>1</v>
      </c>
      <c r="B29" s="1">
        <v>18.2</v>
      </c>
      <c r="C29" s="1">
        <f>(B29-$B$38)^2</f>
        <v>2.054444444444445</v>
      </c>
    </row>
    <row r="30" spans="1:8" x14ac:dyDescent="0.3">
      <c r="A30" s="1">
        <v>2</v>
      </c>
      <c r="B30" s="1">
        <v>13.7</v>
      </c>
      <c r="C30" s="1">
        <f t="shared" ref="C30:C37" si="0">(B30-$B$38)^2</f>
        <v>9.4044444444444437</v>
      </c>
    </row>
    <row r="31" spans="1:8" x14ac:dyDescent="0.3">
      <c r="A31" s="1">
        <v>3</v>
      </c>
      <c r="B31" s="1">
        <v>15.9</v>
      </c>
      <c r="C31" s="1">
        <f t="shared" si="0"/>
        <v>0.75111111111110884</v>
      </c>
    </row>
    <row r="32" spans="1:8" x14ac:dyDescent="0.3">
      <c r="A32" s="1">
        <v>4</v>
      </c>
      <c r="B32" s="1">
        <v>17.399999999999999</v>
      </c>
      <c r="C32" s="1">
        <f t="shared" si="0"/>
        <v>0.40111111111111053</v>
      </c>
    </row>
    <row r="33" spans="1:8" x14ac:dyDescent="0.3">
      <c r="A33" s="1">
        <v>5</v>
      </c>
      <c r="B33" s="1">
        <v>21.8</v>
      </c>
      <c r="C33" s="1">
        <f t="shared" si="0"/>
        <v>25.334444444444461</v>
      </c>
    </row>
    <row r="34" spans="1:8" x14ac:dyDescent="0.3">
      <c r="A34" s="1">
        <v>6</v>
      </c>
      <c r="B34" s="1">
        <v>16.600000000000001</v>
      </c>
      <c r="C34" s="1">
        <f t="shared" si="0"/>
        <v>2.7777777777776989E-2</v>
      </c>
    </row>
    <row r="35" spans="1:8" x14ac:dyDescent="0.3">
      <c r="A35" s="1">
        <v>7</v>
      </c>
      <c r="B35" s="1">
        <v>12.3</v>
      </c>
      <c r="C35" s="1">
        <f t="shared" si="0"/>
        <v>19.951111111111096</v>
      </c>
    </row>
    <row r="36" spans="1:8" x14ac:dyDescent="0.3">
      <c r="A36" s="1">
        <v>8</v>
      </c>
      <c r="B36" s="1">
        <v>18.8</v>
      </c>
      <c r="C36" s="1">
        <f t="shared" si="0"/>
        <v>4.1344444444444512</v>
      </c>
    </row>
    <row r="37" spans="1:8" x14ac:dyDescent="0.3">
      <c r="A37" s="1">
        <v>9</v>
      </c>
      <c r="B37" s="1">
        <v>16.2</v>
      </c>
      <c r="C37" s="1">
        <f t="shared" si="0"/>
        <v>0.32111111111111085</v>
      </c>
    </row>
    <row r="38" spans="1:8" x14ac:dyDescent="0.3">
      <c r="A38" s="1" t="s">
        <v>3</v>
      </c>
      <c r="B38" s="1">
        <f>AVERAGE(B29:B37)</f>
        <v>16.766666666666666</v>
      </c>
    </row>
    <row r="39" spans="1:8" x14ac:dyDescent="0.3">
      <c r="A39" s="1" t="s">
        <v>255</v>
      </c>
      <c r="B39" s="1">
        <f>VAR(B29:B37)</f>
        <v>7.7975000000001273</v>
      </c>
      <c r="C39" s="1">
        <f>SUM(C29:C37)/8</f>
        <v>7.7975000000000012</v>
      </c>
    </row>
    <row r="40" spans="1:8" ht="27.6" x14ac:dyDescent="0.3">
      <c r="A40" s="1" t="s">
        <v>4</v>
      </c>
      <c r="B40" s="1">
        <f>STDEV(B29:B37)</f>
        <v>2.7924004010886634</v>
      </c>
      <c r="C40" s="1">
        <f>SQRT(C39)</f>
        <v>2.7924004010886407</v>
      </c>
    </row>
    <row r="42" spans="1:8" x14ac:dyDescent="0.3">
      <c r="B42" s="167" t="s">
        <v>53</v>
      </c>
      <c r="C42" s="167" t="s">
        <v>54</v>
      </c>
    </row>
    <row r="43" spans="1:8" x14ac:dyDescent="0.3">
      <c r="A43" s="1" t="s">
        <v>572</v>
      </c>
      <c r="B43" s="167">
        <f>B25-B22*B26/SQRT(B23)</f>
        <v>12.516509380311032</v>
      </c>
      <c r="C43" s="167" t="s">
        <v>577</v>
      </c>
    </row>
    <row r="44" spans="1:8" x14ac:dyDescent="0.3">
      <c r="A44" s="1" t="s">
        <v>573</v>
      </c>
      <c r="B44" s="167">
        <f>B25+B22*B26/SQRT(B23)</f>
        <v>21.0168239530223</v>
      </c>
    </row>
    <row r="45" spans="1:8" ht="14.4" thickBot="1" x14ac:dyDescent="0.35"/>
    <row r="46" spans="1:8" ht="16.2" thickBot="1" x14ac:dyDescent="0.35">
      <c r="A46" s="304" t="s">
        <v>15</v>
      </c>
      <c r="B46" s="305"/>
      <c r="C46" s="305"/>
      <c r="D46" s="305"/>
      <c r="E46" s="305"/>
      <c r="F46" s="305"/>
      <c r="G46" s="305"/>
      <c r="H46" s="306"/>
    </row>
    <row r="47" spans="1:8" x14ac:dyDescent="0.3">
      <c r="A47" s="1" t="s">
        <v>578</v>
      </c>
      <c r="B47" s="1">
        <v>32.4</v>
      </c>
    </row>
    <row r="48" spans="1:8" x14ac:dyDescent="0.3">
      <c r="A48" s="1" t="s">
        <v>569</v>
      </c>
      <c r="B48" s="1">
        <v>9</v>
      </c>
    </row>
    <row r="49" spans="1:8" x14ac:dyDescent="0.3">
      <c r="A49" s="1" t="s">
        <v>571</v>
      </c>
      <c r="B49" s="1">
        <f>B47/SQRT(B48)</f>
        <v>10.799999999999999</v>
      </c>
    </row>
    <row r="50" spans="1:8" x14ac:dyDescent="0.3">
      <c r="A50" s="1" t="s">
        <v>575</v>
      </c>
      <c r="B50" s="1">
        <v>187.9</v>
      </c>
    </row>
    <row r="51" spans="1:8" x14ac:dyDescent="0.3">
      <c r="A51" s="1" t="s">
        <v>568</v>
      </c>
      <c r="B51" s="1">
        <f>TINV(0.2,8)</f>
        <v>1.3968153097438645</v>
      </c>
    </row>
    <row r="53" spans="1:8" x14ac:dyDescent="0.3">
      <c r="B53" s="171" t="s">
        <v>53</v>
      </c>
      <c r="C53" s="231" t="s">
        <v>54</v>
      </c>
      <c r="D53" s="231"/>
    </row>
    <row r="54" spans="1:8" x14ac:dyDescent="0.3">
      <c r="A54" s="1" t="s">
        <v>572</v>
      </c>
      <c r="B54" s="167">
        <f>B50-B47*B51/SQRT(B48)</f>
        <v>172.81439465476626</v>
      </c>
      <c r="C54" s="1" t="s">
        <v>568</v>
      </c>
      <c r="D54" s="1">
        <f>(210-B50)*SQRT(B48)/B47</f>
        <v>2.0462962962962958</v>
      </c>
    </row>
    <row r="55" spans="1:8" x14ac:dyDescent="0.3">
      <c r="A55" s="1" t="s">
        <v>573</v>
      </c>
      <c r="B55" s="167">
        <f>B50+B47*B51/SQRT(B48)</f>
        <v>202.98560534523375</v>
      </c>
      <c r="C55" s="170" t="s">
        <v>579</v>
      </c>
      <c r="D55" s="1">
        <f>TDIST(D54,8,2)</f>
        <v>7.4937848124071185E-2</v>
      </c>
    </row>
    <row r="56" spans="1:8" ht="27.6" x14ac:dyDescent="0.3">
      <c r="C56" s="1" t="s">
        <v>574</v>
      </c>
      <c r="D56" s="167">
        <f>1-D55/2</f>
        <v>0.96253107593796439</v>
      </c>
    </row>
    <row r="57" spans="1:8" ht="14.4" thickBot="1" x14ac:dyDescent="0.35"/>
    <row r="58" spans="1:8" ht="16.2" thickBot="1" x14ac:dyDescent="0.35">
      <c r="A58" s="304" t="s">
        <v>16</v>
      </c>
      <c r="B58" s="305"/>
      <c r="C58" s="305"/>
      <c r="D58" s="305"/>
      <c r="E58" s="305"/>
      <c r="F58" s="305"/>
      <c r="G58" s="305"/>
      <c r="H58" s="306"/>
    </row>
    <row r="59" spans="1:8" x14ac:dyDescent="0.3">
      <c r="A59" s="1" t="s">
        <v>569</v>
      </c>
      <c r="B59" s="1">
        <v>1562</v>
      </c>
    </row>
    <row r="60" spans="1:8" x14ac:dyDescent="0.3">
      <c r="A60" s="1" t="s">
        <v>575</v>
      </c>
      <c r="B60" s="1">
        <v>3.92</v>
      </c>
    </row>
    <row r="61" spans="1:8" x14ac:dyDescent="0.3">
      <c r="A61" s="1" t="s">
        <v>571</v>
      </c>
      <c r="B61" s="1">
        <v>1.57</v>
      </c>
    </row>
    <row r="62" spans="1:8" x14ac:dyDescent="0.3">
      <c r="A62" s="1" t="s">
        <v>568</v>
      </c>
      <c r="B62" s="1">
        <f>TINV(0.05,1561)</f>
        <v>1.9614848560420457</v>
      </c>
    </row>
    <row r="63" spans="1:8" x14ac:dyDescent="0.3">
      <c r="C63" s="162"/>
      <c r="D63" s="162"/>
      <c r="E63" s="162"/>
    </row>
    <row r="64" spans="1:8" x14ac:dyDescent="0.3">
      <c r="A64" s="1" t="s">
        <v>580</v>
      </c>
      <c r="B64" s="168" t="s">
        <v>53</v>
      </c>
      <c r="C64" s="162"/>
      <c r="D64" s="162"/>
      <c r="E64" s="162"/>
    </row>
    <row r="65" spans="1:8" x14ac:dyDescent="0.3">
      <c r="A65" s="1" t="s">
        <v>572</v>
      </c>
      <c r="B65" s="167">
        <f>B60-B61*B62/SQRT(B59)</f>
        <v>3.8420808695943949</v>
      </c>
      <c r="C65" s="162"/>
      <c r="D65" s="162"/>
      <c r="E65" s="162"/>
    </row>
    <row r="66" spans="1:8" x14ac:dyDescent="0.3">
      <c r="A66" s="1" t="s">
        <v>573</v>
      </c>
      <c r="B66" s="167">
        <f>B60+B61*B62/SQRT(B59)</f>
        <v>3.997919130405605</v>
      </c>
      <c r="C66" s="162"/>
      <c r="D66" s="162"/>
      <c r="E66" s="162"/>
    </row>
    <row r="67" spans="1:8" ht="14.4" thickBot="1" x14ac:dyDescent="0.35">
      <c r="C67" s="162"/>
      <c r="D67" s="162"/>
      <c r="E67" s="162"/>
    </row>
    <row r="68" spans="1:8" ht="16.2" thickBot="1" x14ac:dyDescent="0.35">
      <c r="A68" s="304" t="s">
        <v>19</v>
      </c>
      <c r="B68" s="305"/>
      <c r="C68" s="305"/>
      <c r="D68" s="305"/>
      <c r="E68" s="305"/>
      <c r="F68" s="305"/>
      <c r="G68" s="305"/>
      <c r="H68" s="306"/>
    </row>
    <row r="69" spans="1:8" x14ac:dyDescent="0.3">
      <c r="A69" s="1" t="s">
        <v>569</v>
      </c>
      <c r="B69" s="1">
        <v>541</v>
      </c>
      <c r="C69" s="162"/>
      <c r="D69" s="162"/>
      <c r="E69" s="162"/>
    </row>
    <row r="70" spans="1:8" x14ac:dyDescent="0.3">
      <c r="A70" s="1" t="s">
        <v>575</v>
      </c>
      <c r="B70" s="1">
        <v>3.81</v>
      </c>
    </row>
    <row r="71" spans="1:8" x14ac:dyDescent="0.3">
      <c r="A71" s="1" t="s">
        <v>571</v>
      </c>
      <c r="B71" s="1">
        <v>1.34</v>
      </c>
    </row>
    <row r="72" spans="1:8" x14ac:dyDescent="0.3">
      <c r="A72" s="1" t="s">
        <v>568</v>
      </c>
      <c r="B72" s="1">
        <f>TINV(0.1,540)</f>
        <v>1.6476802982976071</v>
      </c>
    </row>
    <row r="74" spans="1:8" x14ac:dyDescent="0.3">
      <c r="A74" s="1" t="s">
        <v>580</v>
      </c>
      <c r="B74" s="168" t="s">
        <v>53</v>
      </c>
      <c r="C74" s="168" t="s">
        <v>54</v>
      </c>
    </row>
    <row r="75" spans="1:8" x14ac:dyDescent="0.3">
      <c r="A75" s="1" t="s">
        <v>572</v>
      </c>
      <c r="B75" s="167">
        <f>B70-B71*B72/SQRT(B69)</f>
        <v>3.7150753259414713</v>
      </c>
      <c r="C75" s="167" t="s">
        <v>576</v>
      </c>
    </row>
    <row r="76" spans="1:8" x14ac:dyDescent="0.3">
      <c r="A76" s="1" t="s">
        <v>573</v>
      </c>
      <c r="B76" s="167">
        <f>B70+B71*B72/SQRT(B69)</f>
        <v>3.9049246740585288</v>
      </c>
    </row>
    <row r="77" spans="1:8" ht="14.4" thickBot="1" x14ac:dyDescent="0.35"/>
    <row r="78" spans="1:8" ht="16.2" thickBot="1" x14ac:dyDescent="0.35">
      <c r="A78" s="304" t="s">
        <v>22</v>
      </c>
      <c r="B78" s="305"/>
      <c r="C78" s="305"/>
      <c r="D78" s="305"/>
      <c r="E78" s="305"/>
      <c r="F78" s="305"/>
      <c r="G78" s="305"/>
      <c r="H78" s="306"/>
    </row>
    <row r="79" spans="1:8" x14ac:dyDescent="0.3">
      <c r="A79" s="1" t="s">
        <v>569</v>
      </c>
      <c r="B79" s="1">
        <v>457</v>
      </c>
    </row>
    <row r="80" spans="1:8" x14ac:dyDescent="0.3">
      <c r="A80" s="1" t="s">
        <v>575</v>
      </c>
      <c r="B80" s="1">
        <v>3.59</v>
      </c>
    </row>
    <row r="81" spans="1:8" x14ac:dyDescent="0.3">
      <c r="A81" s="1" t="s">
        <v>571</v>
      </c>
      <c r="B81" s="1">
        <v>1.0449999999999999</v>
      </c>
    </row>
    <row r="83" spans="1:8" x14ac:dyDescent="0.3">
      <c r="A83" s="1" t="s">
        <v>568</v>
      </c>
      <c r="B83" s="1">
        <f>(B80-3.49)*SQRT(B79)/B81</f>
        <v>2.0456993613810406</v>
      </c>
    </row>
    <row r="84" spans="1:8" x14ac:dyDescent="0.3">
      <c r="A84" s="170" t="s">
        <v>579</v>
      </c>
      <c r="B84" s="1">
        <f>TDIST(B83,456,2)</f>
        <v>4.1359172607020933E-2</v>
      </c>
    </row>
    <row r="85" spans="1:8" ht="27.6" x14ac:dyDescent="0.3">
      <c r="A85" s="1" t="s">
        <v>574</v>
      </c>
      <c r="B85" s="167">
        <f>1-B84</f>
        <v>0.95864082739297907</v>
      </c>
    </row>
    <row r="86" spans="1:8" ht="14.4" thickBot="1" x14ac:dyDescent="0.35"/>
    <row r="87" spans="1:8" ht="16.2" thickBot="1" x14ac:dyDescent="0.35">
      <c r="A87" s="304" t="s">
        <v>25</v>
      </c>
      <c r="B87" s="305"/>
      <c r="C87" s="305"/>
      <c r="D87" s="305"/>
      <c r="E87" s="305"/>
      <c r="F87" s="305"/>
      <c r="G87" s="305"/>
      <c r="H87" s="306"/>
    </row>
    <row r="88" spans="1:8" x14ac:dyDescent="0.3">
      <c r="A88" s="1" t="s">
        <v>569</v>
      </c>
      <c r="B88" s="1">
        <v>357</v>
      </c>
    </row>
    <row r="89" spans="1:8" x14ac:dyDescent="0.3">
      <c r="A89" s="1" t="s">
        <v>575</v>
      </c>
      <c r="B89" s="1">
        <v>60.41</v>
      </c>
    </row>
    <row r="90" spans="1:8" x14ac:dyDescent="0.3">
      <c r="A90" s="1" t="s">
        <v>571</v>
      </c>
      <c r="B90" s="1">
        <v>11.28</v>
      </c>
    </row>
    <row r="91" spans="1:8" x14ac:dyDescent="0.3">
      <c r="A91" s="1" t="s">
        <v>568</v>
      </c>
      <c r="B91" s="1">
        <f>TINV(0.1,356)</f>
        <v>1.6491451051753976</v>
      </c>
    </row>
    <row r="93" spans="1:8" x14ac:dyDescent="0.3">
      <c r="A93" s="1" t="s">
        <v>572</v>
      </c>
      <c r="B93" s="1">
        <f>B89-B90*B91/SQRT(B88)</f>
        <v>59.425458874951183</v>
      </c>
    </row>
    <row r="94" spans="1:8" x14ac:dyDescent="0.3">
      <c r="A94" s="1" t="s">
        <v>573</v>
      </c>
      <c r="B94" s="1">
        <f>B89+B90*B91/SQRT(B88)</f>
        <v>61.394541125048811</v>
      </c>
    </row>
    <row r="95" spans="1:8" ht="14.4" thickBot="1" x14ac:dyDescent="0.35"/>
    <row r="96" spans="1:8" ht="16.2" thickBot="1" x14ac:dyDescent="0.35">
      <c r="A96" s="304" t="s">
        <v>29</v>
      </c>
      <c r="B96" s="305"/>
      <c r="C96" s="305"/>
      <c r="D96" s="305"/>
      <c r="E96" s="305"/>
      <c r="F96" s="305"/>
      <c r="G96" s="305"/>
      <c r="H96" s="306"/>
    </row>
    <row r="97" spans="1:8" x14ac:dyDescent="0.3">
      <c r="A97" s="1" t="s">
        <v>569</v>
      </c>
      <c r="B97" s="1">
        <v>174</v>
      </c>
    </row>
    <row r="98" spans="1:8" x14ac:dyDescent="0.3">
      <c r="A98" s="1" t="s">
        <v>575</v>
      </c>
      <c r="B98" s="1">
        <v>6.06</v>
      </c>
    </row>
    <row r="99" spans="1:8" x14ac:dyDescent="0.3">
      <c r="A99" s="1" t="s">
        <v>571</v>
      </c>
      <c r="B99" s="1">
        <v>1.43</v>
      </c>
    </row>
    <row r="100" spans="1:8" x14ac:dyDescent="0.3">
      <c r="A100" s="1" t="s">
        <v>568</v>
      </c>
      <c r="B100" s="1">
        <f>TINV(0.1,173)</f>
        <v>1.6537091838406781</v>
      </c>
    </row>
    <row r="102" spans="1:8" x14ac:dyDescent="0.3">
      <c r="A102" s="1" t="s">
        <v>568</v>
      </c>
      <c r="B102" s="1">
        <f>(B98-5.96)*SQRT(B97)/B99</f>
        <v>0.92244097610299802</v>
      </c>
    </row>
    <row r="103" spans="1:8" x14ac:dyDescent="0.3">
      <c r="B103" s="1">
        <f>TDIST(B102,173,2)</f>
        <v>0.35758327490217978</v>
      </c>
    </row>
    <row r="104" spans="1:8" x14ac:dyDescent="0.3">
      <c r="B104" s="167">
        <f>1-B103</f>
        <v>0.64241672509782022</v>
      </c>
    </row>
    <row r="105" spans="1:8" ht="14.4" thickBot="1" x14ac:dyDescent="0.35"/>
    <row r="106" spans="1:8" ht="16.2" thickBot="1" x14ac:dyDescent="0.35">
      <c r="A106" s="304" t="s">
        <v>34</v>
      </c>
      <c r="B106" s="305"/>
      <c r="C106" s="305"/>
      <c r="D106" s="305"/>
      <c r="E106" s="305"/>
      <c r="F106" s="305"/>
      <c r="G106" s="305"/>
      <c r="H106" s="306"/>
    </row>
    <row r="107" spans="1:8" x14ac:dyDescent="0.3">
      <c r="A107" s="1" t="s">
        <v>569</v>
      </c>
      <c r="B107" s="1">
        <v>9</v>
      </c>
    </row>
    <row r="108" spans="1:8" x14ac:dyDescent="0.3">
      <c r="A108" s="1" t="s">
        <v>575</v>
      </c>
      <c r="B108" s="1">
        <v>157.82</v>
      </c>
    </row>
    <row r="109" spans="1:8" x14ac:dyDescent="0.3">
      <c r="A109" s="1" t="s">
        <v>571</v>
      </c>
      <c r="B109" s="1">
        <v>38.89</v>
      </c>
    </row>
    <row r="110" spans="1:8" x14ac:dyDescent="0.3">
      <c r="A110" s="1" t="s">
        <v>568</v>
      </c>
      <c r="B110" s="1">
        <f>TINV(0.05,8)</f>
        <v>2.3060041352041671</v>
      </c>
    </row>
    <row r="113" spans="1:8" x14ac:dyDescent="0.3">
      <c r="A113" s="1" t="s">
        <v>572</v>
      </c>
      <c r="B113" s="167">
        <f>B108-B109*B110/SQRT(B107)</f>
        <v>127.92649972730331</v>
      </c>
    </row>
    <row r="114" spans="1:8" x14ac:dyDescent="0.3">
      <c r="A114" s="1" t="s">
        <v>573</v>
      </c>
      <c r="B114" s="167">
        <f>B108+B109*B110/SQRT(B107)</f>
        <v>187.71350027269668</v>
      </c>
    </row>
    <row r="115" spans="1:8" ht="14.4" thickBot="1" x14ac:dyDescent="0.35"/>
    <row r="116" spans="1:8" ht="16.2" thickBot="1" x14ac:dyDescent="0.35">
      <c r="A116" s="304" t="s">
        <v>42</v>
      </c>
      <c r="B116" s="305"/>
      <c r="C116" s="305"/>
      <c r="D116" s="305"/>
      <c r="E116" s="305"/>
      <c r="F116" s="305"/>
      <c r="G116" s="305"/>
      <c r="H116" s="306"/>
    </row>
    <row r="117" spans="1:8" x14ac:dyDescent="0.3">
      <c r="A117" s="1" t="s">
        <v>569</v>
      </c>
      <c r="B117" s="1">
        <v>7</v>
      </c>
      <c r="E117" s="231" t="s">
        <v>53</v>
      </c>
      <c r="F117" s="231"/>
      <c r="G117" s="168" t="s">
        <v>54</v>
      </c>
    </row>
    <row r="118" spans="1:8" x14ac:dyDescent="0.3">
      <c r="A118" s="1" t="s">
        <v>575</v>
      </c>
      <c r="B118" s="1">
        <f>E125</f>
        <v>74.714285714285708</v>
      </c>
      <c r="E118" s="1">
        <v>79</v>
      </c>
      <c r="F118" s="1">
        <f>(E118-$E$125)^2</f>
        <v>18.367346938775562</v>
      </c>
      <c r="G118" s="167">
        <f>B118-B119*B120/SQRT(B117)</f>
        <v>36.883690580704879</v>
      </c>
    </row>
    <row r="119" spans="1:8" x14ac:dyDescent="0.3">
      <c r="A119" s="1" t="s">
        <v>571</v>
      </c>
      <c r="B119" s="1">
        <f>E126</f>
        <v>40.904761904761905</v>
      </c>
      <c r="E119" s="1">
        <v>73</v>
      </c>
      <c r="F119" s="1">
        <f t="shared" ref="F119:F124" si="1">(E119-$E$125)^2</f>
        <v>2.9387755102040609</v>
      </c>
      <c r="G119" s="167">
        <f>B118+B119*B120/SQRT(B117)</f>
        <v>112.54488084786654</v>
      </c>
    </row>
    <row r="120" spans="1:8" x14ac:dyDescent="0.3">
      <c r="A120" s="1" t="s">
        <v>568</v>
      </c>
      <c r="B120" s="1">
        <f>TINV(0.05,6)</f>
        <v>2.4469118511449697</v>
      </c>
      <c r="E120" s="1">
        <v>68</v>
      </c>
      <c r="F120" s="1">
        <f t="shared" si="1"/>
        <v>45.081632653061142</v>
      </c>
    </row>
    <row r="121" spans="1:8" x14ac:dyDescent="0.3">
      <c r="E121" s="1">
        <v>77</v>
      </c>
      <c r="F121" s="1">
        <f t="shared" si="1"/>
        <v>5.2244897959183954</v>
      </c>
    </row>
    <row r="122" spans="1:8" x14ac:dyDescent="0.3">
      <c r="E122" s="1">
        <v>86</v>
      </c>
      <c r="F122" s="1">
        <f t="shared" si="1"/>
        <v>127.36734693877565</v>
      </c>
    </row>
    <row r="123" spans="1:8" x14ac:dyDescent="0.3">
      <c r="E123" s="1">
        <v>71</v>
      </c>
      <c r="F123" s="1">
        <f t="shared" si="1"/>
        <v>13.795918367346893</v>
      </c>
    </row>
    <row r="124" spans="1:8" x14ac:dyDescent="0.3">
      <c r="E124" s="1">
        <v>69</v>
      </c>
      <c r="F124" s="1">
        <f t="shared" si="1"/>
        <v>32.653061224489726</v>
      </c>
    </row>
    <row r="125" spans="1:8" ht="13.95" customHeight="1" x14ac:dyDescent="0.3">
      <c r="D125" s="1" t="s">
        <v>3</v>
      </c>
      <c r="E125" s="167">
        <f>AVERAGE(E118:E124)</f>
        <v>74.714285714285708</v>
      </c>
    </row>
    <row r="126" spans="1:8" x14ac:dyDescent="0.3">
      <c r="D126" s="1" t="s">
        <v>134</v>
      </c>
      <c r="E126" s="167">
        <f>VAR(E118:E124)</f>
        <v>40.904761904761905</v>
      </c>
      <c r="F126" s="167">
        <f>SUM(F118:F124)/6</f>
        <v>40.904761904761905</v>
      </c>
    </row>
    <row r="127" spans="1:8" ht="27.6" x14ac:dyDescent="0.3">
      <c r="D127" s="1" t="s">
        <v>4</v>
      </c>
      <c r="E127" s="167">
        <f>STDEV(E118:E124)</f>
        <v>6.3956830678796068</v>
      </c>
      <c r="F127" s="167">
        <f>SQRT(F126)</f>
        <v>6.3956830678796068</v>
      </c>
    </row>
    <row r="128" spans="1:8" ht="14.4" thickBot="1" x14ac:dyDescent="0.35"/>
    <row r="129" spans="1:8" ht="16.2" thickBot="1" x14ac:dyDescent="0.35">
      <c r="A129" s="304" t="s">
        <v>45</v>
      </c>
      <c r="B129" s="305"/>
      <c r="C129" s="305"/>
      <c r="D129" s="305"/>
      <c r="E129" s="305"/>
      <c r="F129" s="305"/>
      <c r="G129" s="305"/>
      <c r="H129" s="306"/>
    </row>
    <row r="130" spans="1:8" ht="27.6" x14ac:dyDescent="0.3">
      <c r="A130" s="1" t="s">
        <v>569</v>
      </c>
      <c r="B130" s="1">
        <v>10</v>
      </c>
      <c r="D130" s="1" t="s">
        <v>532</v>
      </c>
      <c r="F130" s="231" t="s">
        <v>53</v>
      </c>
      <c r="G130" s="231"/>
      <c r="H130" s="168" t="s">
        <v>54</v>
      </c>
    </row>
    <row r="131" spans="1:8" x14ac:dyDescent="0.3">
      <c r="A131" s="1" t="s">
        <v>575</v>
      </c>
      <c r="B131" s="1">
        <f>D141</f>
        <v>16.369999999999997</v>
      </c>
      <c r="D131" s="1">
        <v>18.2</v>
      </c>
      <c r="E131" s="1">
        <f>(D131-$D$141)^2</f>
        <v>3.3489000000000066</v>
      </c>
      <c r="F131" s="1" t="s">
        <v>572</v>
      </c>
      <c r="G131" s="169">
        <f>B131-B132*B133/SQRT(B130)</f>
        <v>10.845481370152736</v>
      </c>
      <c r="H131" s="167" t="s">
        <v>576</v>
      </c>
    </row>
    <row r="132" spans="1:8" x14ac:dyDescent="0.3">
      <c r="A132" s="1" t="s">
        <v>571</v>
      </c>
      <c r="B132" s="1">
        <f>D142</f>
        <v>5.3756756681266591</v>
      </c>
      <c r="D132" s="1">
        <v>25.9</v>
      </c>
      <c r="E132" s="1">
        <f t="shared" ref="E132:E140" si="2">(D132-$D$141)^2</f>
        <v>90.820900000000023</v>
      </c>
      <c r="F132" s="1" t="s">
        <v>573</v>
      </c>
      <c r="G132" s="167">
        <f>B131+B132*B133/SQRT(B130)</f>
        <v>21.894518629847258</v>
      </c>
    </row>
    <row r="133" spans="1:8" x14ac:dyDescent="0.3">
      <c r="A133" s="1" t="s">
        <v>568</v>
      </c>
      <c r="B133" s="1">
        <f>TINV(0.01,9)</f>
        <v>3.2498355415921263</v>
      </c>
      <c r="D133" s="1">
        <v>6.3</v>
      </c>
      <c r="E133" s="1">
        <f t="shared" si="2"/>
        <v>101.40489999999994</v>
      </c>
    </row>
    <row r="134" spans="1:8" x14ac:dyDescent="0.3">
      <c r="D134" s="1">
        <v>11.8</v>
      </c>
      <c r="E134" s="1">
        <f t="shared" si="2"/>
        <v>20.88489999999997</v>
      </c>
    </row>
    <row r="135" spans="1:8" x14ac:dyDescent="0.3">
      <c r="D135" s="1">
        <v>15.4</v>
      </c>
      <c r="E135" s="1">
        <f t="shared" si="2"/>
        <v>0.9408999999999943</v>
      </c>
    </row>
    <row r="136" spans="1:8" x14ac:dyDescent="0.3">
      <c r="D136" s="1">
        <v>20.3</v>
      </c>
      <c r="E136" s="1">
        <f t="shared" si="2"/>
        <v>15.444900000000025</v>
      </c>
    </row>
    <row r="137" spans="1:8" x14ac:dyDescent="0.3">
      <c r="D137" s="1">
        <v>16.8</v>
      </c>
      <c r="E137" s="1">
        <f t="shared" si="2"/>
        <v>0.18490000000000281</v>
      </c>
    </row>
    <row r="138" spans="1:8" x14ac:dyDescent="0.3">
      <c r="D138" s="1">
        <v>19.5</v>
      </c>
      <c r="E138" s="1">
        <f t="shared" si="2"/>
        <v>9.7969000000000168</v>
      </c>
    </row>
    <row r="139" spans="1:8" x14ac:dyDescent="0.3">
      <c r="D139" s="1">
        <v>12.3</v>
      </c>
      <c r="E139" s="1">
        <f t="shared" si="2"/>
        <v>16.564899999999973</v>
      </c>
    </row>
    <row r="140" spans="1:8" x14ac:dyDescent="0.3">
      <c r="D140" s="1">
        <v>17.2</v>
      </c>
      <c r="E140" s="1">
        <f t="shared" si="2"/>
        <v>0.68890000000000307</v>
      </c>
    </row>
    <row r="141" spans="1:8" ht="16.95" customHeight="1" x14ac:dyDescent="0.3">
      <c r="C141" s="1" t="s">
        <v>3</v>
      </c>
      <c r="D141" s="1">
        <f>AVERAGE(D131:D140)</f>
        <v>16.369999999999997</v>
      </c>
      <c r="E141" s="1">
        <f>SUM(E131:E140)/9</f>
        <v>28.897888888888879</v>
      </c>
    </row>
    <row r="142" spans="1:8" ht="27.6" x14ac:dyDescent="0.3">
      <c r="C142" s="1" t="s">
        <v>4</v>
      </c>
      <c r="D142" s="1">
        <f>STDEV(D131:D140)</f>
        <v>5.3756756681266591</v>
      </c>
      <c r="E142" s="1">
        <f>SQRT(E141)</f>
        <v>5.3756756681266475</v>
      </c>
    </row>
    <row r="143" spans="1:8" ht="14.4" thickBot="1" x14ac:dyDescent="0.35"/>
    <row r="144" spans="1:8" ht="16.2" thickBot="1" x14ac:dyDescent="0.35">
      <c r="A144" s="304" t="s">
        <v>46</v>
      </c>
      <c r="B144" s="305"/>
      <c r="C144" s="305"/>
      <c r="D144" s="305"/>
      <c r="E144" s="305"/>
      <c r="F144" s="305"/>
      <c r="G144" s="305"/>
      <c r="H144" s="306"/>
    </row>
    <row r="145" spans="1:8" x14ac:dyDescent="0.3">
      <c r="A145" s="1" t="s">
        <v>569</v>
      </c>
      <c r="B145" s="1">
        <v>25</v>
      </c>
    </row>
    <row r="146" spans="1:8" x14ac:dyDescent="0.3">
      <c r="A146" s="1" t="s">
        <v>575</v>
      </c>
      <c r="B146" s="1">
        <f>1508/25</f>
        <v>60.32</v>
      </c>
    </row>
    <row r="147" spans="1:8" x14ac:dyDescent="0.3">
      <c r="A147" s="1" t="s">
        <v>571</v>
      </c>
      <c r="B147" s="1">
        <f>SQRT((95628+25*$B$146*$B$146-2*$B$146*(1508))/24)</f>
        <v>13.942500971250942</v>
      </c>
    </row>
    <row r="148" spans="1:8" x14ac:dyDescent="0.3">
      <c r="A148" s="1" t="s">
        <v>568</v>
      </c>
      <c r="B148" s="1">
        <f>TINV(0.1,24)</f>
        <v>1.7108820799094284</v>
      </c>
    </row>
    <row r="150" spans="1:8" x14ac:dyDescent="0.3">
      <c r="A150" s="1" t="s">
        <v>53</v>
      </c>
      <c r="B150" s="1" t="s">
        <v>54</v>
      </c>
    </row>
    <row r="151" spans="1:8" x14ac:dyDescent="0.3">
      <c r="A151" s="167">
        <f>B146</f>
        <v>60.32</v>
      </c>
      <c r="B151" s="167">
        <f>B146-B147*B148/SQRT(B145)</f>
        <v>55.549204987833392</v>
      </c>
    </row>
    <row r="152" spans="1:8" x14ac:dyDescent="0.3">
      <c r="A152" s="167">
        <f>B147*B147</f>
        <v>194.39333333333346</v>
      </c>
      <c r="B152" s="167">
        <f>B146+B147*B148/SQRT(B145)</f>
        <v>65.090795012166609</v>
      </c>
    </row>
    <row r="153" spans="1:8" ht="14.4" thickBot="1" x14ac:dyDescent="0.35"/>
    <row r="154" spans="1:8" ht="16.2" thickBot="1" x14ac:dyDescent="0.35">
      <c r="A154" s="304" t="s">
        <v>47</v>
      </c>
      <c r="B154" s="305"/>
      <c r="C154" s="305"/>
      <c r="D154" s="305"/>
      <c r="E154" s="305"/>
      <c r="F154" s="305"/>
      <c r="G154" s="305"/>
      <c r="H154" s="306"/>
    </row>
    <row r="155" spans="1:8" ht="16.2" customHeight="1" x14ac:dyDescent="0.3">
      <c r="A155" s="234" t="s">
        <v>581</v>
      </c>
      <c r="B155" s="234"/>
      <c r="C155" s="234"/>
      <c r="D155" s="234"/>
      <c r="E155" s="234"/>
      <c r="F155" s="234"/>
      <c r="G155" s="234"/>
      <c r="H155" s="234"/>
    </row>
    <row r="156" spans="1:8" ht="14.4" thickBot="1" x14ac:dyDescent="0.35"/>
    <row r="157" spans="1:8" ht="16.2" thickBot="1" x14ac:dyDescent="0.35">
      <c r="A157" s="304" t="s">
        <v>48</v>
      </c>
      <c r="B157" s="305"/>
      <c r="C157" s="305"/>
      <c r="D157" s="305"/>
      <c r="E157" s="305"/>
      <c r="F157" s="305"/>
      <c r="G157" s="305"/>
      <c r="H157" s="306"/>
    </row>
    <row r="158" spans="1:8" x14ac:dyDescent="0.3">
      <c r="A158" s="1" t="s">
        <v>569</v>
      </c>
      <c r="B158" s="1">
        <v>25</v>
      </c>
    </row>
    <row r="159" spans="1:8" x14ac:dyDescent="0.3">
      <c r="A159" s="1" t="s">
        <v>575</v>
      </c>
      <c r="B159" s="1">
        <v>42.74</v>
      </c>
    </row>
    <row r="160" spans="1:8" x14ac:dyDescent="0.3">
      <c r="A160" s="1" t="s">
        <v>571</v>
      </c>
      <c r="B160" s="1">
        <v>4.78</v>
      </c>
    </row>
    <row r="161" spans="1:8" x14ac:dyDescent="0.3">
      <c r="A161" s="1" t="s">
        <v>568</v>
      </c>
      <c r="B161" s="1">
        <f>TINV(0.1,24)</f>
        <v>1.7108820799094284</v>
      </c>
    </row>
    <row r="163" spans="1:8" x14ac:dyDescent="0.3">
      <c r="A163" s="167">
        <f>B159-B160*B161/SQRT(B158)</f>
        <v>41.104396731606592</v>
      </c>
    </row>
    <row r="164" spans="1:8" x14ac:dyDescent="0.3">
      <c r="A164" s="167">
        <f>B159+B160*B161/SQRT(B158)</f>
        <v>44.375603268393412</v>
      </c>
    </row>
    <row r="165" spans="1:8" ht="14.4" thickBot="1" x14ac:dyDescent="0.35"/>
    <row r="166" spans="1:8" ht="16.2" thickBot="1" x14ac:dyDescent="0.35">
      <c r="A166" s="304" t="s">
        <v>49</v>
      </c>
      <c r="B166" s="305"/>
      <c r="C166" s="305"/>
      <c r="D166" s="305"/>
      <c r="E166" s="305"/>
      <c r="F166" s="305"/>
      <c r="G166" s="305"/>
      <c r="H166" s="306"/>
    </row>
    <row r="167" spans="1:8" x14ac:dyDescent="0.3">
      <c r="A167" s="1" t="s">
        <v>569</v>
      </c>
      <c r="B167" s="1">
        <v>10</v>
      </c>
    </row>
    <row r="168" spans="1:8" x14ac:dyDescent="0.3">
      <c r="A168" s="1" t="s">
        <v>575</v>
      </c>
      <c r="B168" s="1">
        <f>1120/10</f>
        <v>112</v>
      </c>
    </row>
    <row r="169" spans="1:8" x14ac:dyDescent="0.3">
      <c r="A169" s="1" t="s">
        <v>571</v>
      </c>
      <c r="B169" s="1">
        <f>SQRT(5184/9)</f>
        <v>24</v>
      </c>
    </row>
    <row r="170" spans="1:8" x14ac:dyDescent="0.3">
      <c r="A170" s="1" t="s">
        <v>568</v>
      </c>
      <c r="B170" s="1">
        <f>TINV(0.2,9)</f>
        <v>1.383028738396632</v>
      </c>
    </row>
    <row r="172" spans="1:8" x14ac:dyDescent="0.3">
      <c r="A172" s="1" t="s">
        <v>53</v>
      </c>
      <c r="B172" s="1" t="s">
        <v>54</v>
      </c>
    </row>
    <row r="173" spans="1:8" ht="27.6" x14ac:dyDescent="0.3">
      <c r="A173" s="167">
        <f>B168-B169*B170/SQRT(B167)</f>
        <v>101.50354988127394</v>
      </c>
      <c r="B173" s="167" t="s">
        <v>577</v>
      </c>
    </row>
    <row r="174" spans="1:8" x14ac:dyDescent="0.3">
      <c r="A174" s="167">
        <f>B168+B169*B170/SQRT(B167)</f>
        <v>122.49645011872606</v>
      </c>
    </row>
    <row r="175" spans="1:8" ht="14.4" thickBot="1" x14ac:dyDescent="0.35"/>
    <row r="176" spans="1:8" ht="16.2" thickBot="1" x14ac:dyDescent="0.35">
      <c r="A176" s="304" t="s">
        <v>52</v>
      </c>
      <c r="B176" s="305"/>
      <c r="C176" s="305"/>
      <c r="D176" s="305"/>
      <c r="E176" s="305"/>
      <c r="F176" s="305"/>
      <c r="G176" s="305"/>
      <c r="H176" s="306"/>
    </row>
    <row r="177" spans="1:8" ht="15" customHeight="1" x14ac:dyDescent="0.3">
      <c r="A177" s="1" t="s">
        <v>569</v>
      </c>
      <c r="B177" s="1">
        <v>9</v>
      </c>
      <c r="E177" s="1" t="s">
        <v>532</v>
      </c>
    </row>
    <row r="178" spans="1:8" x14ac:dyDescent="0.3">
      <c r="A178" s="1" t="s">
        <v>575</v>
      </c>
      <c r="B178" s="1">
        <f>E187</f>
        <v>16.222222222222221</v>
      </c>
      <c r="E178" s="1">
        <v>16</v>
      </c>
      <c r="F178" s="1">
        <f>(E178-$E$187)^2</f>
        <v>4.9382716049382366E-2</v>
      </c>
    </row>
    <row r="179" spans="1:8" x14ac:dyDescent="0.3">
      <c r="A179" s="1" t="s">
        <v>571</v>
      </c>
      <c r="B179" s="1">
        <f>E189</f>
        <v>4.7900359543999729</v>
      </c>
      <c r="E179" s="1">
        <v>10</v>
      </c>
      <c r="F179" s="1">
        <f t="shared" ref="F179:F186" si="3">(E179-$E$187)^2</f>
        <v>38.716049382716037</v>
      </c>
    </row>
    <row r="180" spans="1:8" x14ac:dyDescent="0.3">
      <c r="A180" s="1" t="s">
        <v>568</v>
      </c>
      <c r="B180" s="1">
        <f>TINV(0.1,8)</f>
        <v>1.8595480375308981</v>
      </c>
      <c r="E180" s="1">
        <v>21</v>
      </c>
      <c r="F180" s="1">
        <f t="shared" si="3"/>
        <v>22.827160493827169</v>
      </c>
    </row>
    <row r="181" spans="1:8" x14ac:dyDescent="0.3">
      <c r="E181" s="1">
        <v>22</v>
      </c>
      <c r="F181" s="1">
        <f t="shared" si="3"/>
        <v>33.382716049382722</v>
      </c>
    </row>
    <row r="182" spans="1:8" x14ac:dyDescent="0.3">
      <c r="A182" s="167">
        <f>B178-B179*B180/SQRT(B177)</f>
        <v>13.253121569319918</v>
      </c>
      <c r="E182" s="1">
        <v>8</v>
      </c>
      <c r="F182" s="1">
        <f t="shared" si="3"/>
        <v>67.604938271604922</v>
      </c>
    </row>
    <row r="183" spans="1:8" x14ac:dyDescent="0.3">
      <c r="A183" s="167">
        <f>B178+B179*B180/SQRT(B177)</f>
        <v>19.191322875124527</v>
      </c>
      <c r="E183" s="1">
        <v>17</v>
      </c>
      <c r="F183" s="1">
        <f t="shared" si="3"/>
        <v>0.60493827160493951</v>
      </c>
    </row>
    <row r="184" spans="1:8" x14ac:dyDescent="0.3">
      <c r="E184" s="1">
        <v>19</v>
      </c>
      <c r="F184" s="1">
        <f t="shared" si="3"/>
        <v>7.7160493827160535</v>
      </c>
    </row>
    <row r="185" spans="1:8" x14ac:dyDescent="0.3">
      <c r="E185" s="1">
        <v>14</v>
      </c>
      <c r="F185" s="1">
        <f t="shared" si="3"/>
        <v>4.9382716049382678</v>
      </c>
    </row>
    <row r="186" spans="1:8" x14ac:dyDescent="0.3">
      <c r="E186" s="1">
        <v>19</v>
      </c>
      <c r="F186" s="1">
        <f t="shared" si="3"/>
        <v>7.7160493827160535</v>
      </c>
    </row>
    <row r="187" spans="1:8" x14ac:dyDescent="0.3">
      <c r="D187" s="1" t="s">
        <v>3</v>
      </c>
      <c r="E187" s="1">
        <f>AVERAGE(E178:E186)</f>
        <v>16.222222222222221</v>
      </c>
    </row>
    <row r="188" spans="1:8" x14ac:dyDescent="0.3">
      <c r="D188" s="1" t="s">
        <v>134</v>
      </c>
      <c r="E188" s="1">
        <f>VAR(E178:E186)</f>
        <v>22.944444444444457</v>
      </c>
      <c r="F188" s="1">
        <f>SUM(F178:F186)/8</f>
        <v>22.944444444444443</v>
      </c>
    </row>
    <row r="189" spans="1:8" ht="27.6" x14ac:dyDescent="0.3">
      <c r="D189" s="1" t="s">
        <v>4</v>
      </c>
      <c r="E189" s="1">
        <f>STDEV(E178:E186)</f>
        <v>4.7900359543999729</v>
      </c>
      <c r="F189" s="1">
        <f>SQRT(F188)</f>
        <v>4.7900359543999711</v>
      </c>
    </row>
    <row r="190" spans="1:8" ht="14.4" thickBot="1" x14ac:dyDescent="0.35"/>
    <row r="191" spans="1:8" ht="16.2" thickBot="1" x14ac:dyDescent="0.35">
      <c r="A191" s="304" t="s">
        <v>61</v>
      </c>
      <c r="B191" s="305"/>
      <c r="C191" s="305"/>
      <c r="D191" s="305"/>
      <c r="E191" s="305"/>
      <c r="F191" s="305"/>
      <c r="G191" s="305"/>
      <c r="H191" s="306"/>
    </row>
    <row r="192" spans="1:8" x14ac:dyDescent="0.3">
      <c r="A192" s="1" t="s">
        <v>569</v>
      </c>
      <c r="B192" s="1">
        <v>610</v>
      </c>
    </row>
    <row r="193" spans="1:8" x14ac:dyDescent="0.3">
      <c r="A193" s="1" t="s">
        <v>241</v>
      </c>
      <c r="B193" s="1">
        <v>0.50700000000000001</v>
      </c>
    </row>
    <row r="194" spans="1:8" x14ac:dyDescent="0.3">
      <c r="A194" s="1" t="s">
        <v>584</v>
      </c>
      <c r="B194" s="1">
        <f>1-B193</f>
        <v>0.49299999999999999</v>
      </c>
    </row>
    <row r="195" spans="1:8" ht="16.2" x14ac:dyDescent="0.3">
      <c r="A195" s="1" t="s">
        <v>582</v>
      </c>
      <c r="B195" s="1">
        <f>NORMSINV(0.005)</f>
        <v>-2.5758293035488999</v>
      </c>
    </row>
    <row r="197" spans="1:8" x14ac:dyDescent="0.3">
      <c r="B197" s="167">
        <f>B193-B195*SQRT(B193*B194/B192)</f>
        <v>0.55914102944272681</v>
      </c>
      <c r="C197" s="167" t="s">
        <v>583</v>
      </c>
      <c r="D197" s="167">
        <f>B193+B195*SQRT(B193*B194/B192)</f>
        <v>0.45485897055727326</v>
      </c>
    </row>
    <row r="198" spans="1:8" ht="14.4" thickBot="1" x14ac:dyDescent="0.35"/>
    <row r="199" spans="1:8" ht="16.2" thickBot="1" x14ac:dyDescent="0.35">
      <c r="A199" s="304" t="s">
        <v>80</v>
      </c>
      <c r="B199" s="305"/>
      <c r="C199" s="305"/>
      <c r="D199" s="305"/>
      <c r="E199" s="305"/>
      <c r="F199" s="305"/>
      <c r="G199" s="305"/>
      <c r="H199" s="306"/>
    </row>
    <row r="200" spans="1:8" x14ac:dyDescent="0.3">
      <c r="A200" s="1" t="s">
        <v>569</v>
      </c>
      <c r="B200" s="1">
        <v>189</v>
      </c>
    </row>
    <row r="201" spans="1:8" x14ac:dyDescent="0.3">
      <c r="A201" s="1" t="s">
        <v>241</v>
      </c>
      <c r="B201" s="1">
        <f>132/B200</f>
        <v>0.69841269841269837</v>
      </c>
    </row>
    <row r="202" spans="1:8" x14ac:dyDescent="0.3">
      <c r="A202" s="1" t="s">
        <v>584</v>
      </c>
      <c r="B202" s="1">
        <f>1-B201</f>
        <v>0.30158730158730163</v>
      </c>
    </row>
    <row r="203" spans="1:8" ht="16.2" x14ac:dyDescent="0.3">
      <c r="A203" s="1" t="s">
        <v>582</v>
      </c>
      <c r="B203" s="1">
        <f>NORMSINV(0.05)</f>
        <v>-1.6448536269514726</v>
      </c>
    </row>
    <row r="205" spans="1:8" x14ac:dyDescent="0.3">
      <c r="A205" s="1" t="s">
        <v>53</v>
      </c>
      <c r="B205" s="167">
        <f>B201-B203*SQRT(B201*B202/B200)</f>
        <v>0.75332364671626129</v>
      </c>
      <c r="C205" s="167" t="s">
        <v>583</v>
      </c>
      <c r="D205" s="167">
        <f>B201+B203*SQRT(B201*B202/B200)</f>
        <v>0.64350175010913546</v>
      </c>
    </row>
    <row r="206" spans="1:8" ht="27.6" x14ac:dyDescent="0.3">
      <c r="A206" s="1" t="s">
        <v>54</v>
      </c>
      <c r="B206" s="167" t="s">
        <v>577</v>
      </c>
    </row>
    <row r="207" spans="1:8" ht="14.4" thickBot="1" x14ac:dyDescent="0.35"/>
    <row r="208" spans="1:8" ht="16.2" thickBot="1" x14ac:dyDescent="0.35">
      <c r="A208" s="304" t="s">
        <v>81</v>
      </c>
      <c r="B208" s="305"/>
      <c r="C208" s="305"/>
      <c r="D208" s="305"/>
      <c r="E208" s="305"/>
      <c r="F208" s="305"/>
      <c r="G208" s="305"/>
      <c r="H208" s="306"/>
    </row>
    <row r="209" spans="1:8" x14ac:dyDescent="0.3">
      <c r="A209" s="1" t="s">
        <v>569</v>
      </c>
      <c r="B209" s="1">
        <v>323</v>
      </c>
    </row>
    <row r="210" spans="1:8" x14ac:dyDescent="0.3">
      <c r="A210" s="1" t="s">
        <v>241</v>
      </c>
      <c r="B210" s="1">
        <v>0.47899999999999998</v>
      </c>
    </row>
    <row r="211" spans="1:8" x14ac:dyDescent="0.3">
      <c r="A211" s="1" t="s">
        <v>584</v>
      </c>
      <c r="B211" s="1">
        <f>1-B210</f>
        <v>0.52100000000000002</v>
      </c>
    </row>
    <row r="213" spans="1:8" ht="16.2" x14ac:dyDescent="0.3">
      <c r="A213" s="1" t="s">
        <v>582</v>
      </c>
      <c r="B213" s="1">
        <f>(0.479-0.458)/SQRT(B210*B211/B209)</f>
        <v>0.75549907604064903</v>
      </c>
    </row>
    <row r="215" spans="1:8" x14ac:dyDescent="0.3">
      <c r="A215" s="1" t="s">
        <v>417</v>
      </c>
      <c r="B215" s="1">
        <f>NORMSDIST(B213)</f>
        <v>0.77502520675069331</v>
      </c>
    </row>
    <row r="216" spans="1:8" x14ac:dyDescent="0.3">
      <c r="B216" s="167">
        <f>1-2*(1-B215)</f>
        <v>0.55005041350138661</v>
      </c>
    </row>
    <row r="217" spans="1:8" ht="14.4" thickBot="1" x14ac:dyDescent="0.35"/>
    <row r="218" spans="1:8" ht="16.2" thickBot="1" x14ac:dyDescent="0.35">
      <c r="A218" s="304" t="s">
        <v>90</v>
      </c>
      <c r="B218" s="305"/>
      <c r="C218" s="305"/>
      <c r="D218" s="305"/>
      <c r="E218" s="305"/>
      <c r="F218" s="305"/>
      <c r="G218" s="305"/>
      <c r="H218" s="306"/>
    </row>
    <row r="219" spans="1:8" x14ac:dyDescent="0.3">
      <c r="A219" s="1" t="s">
        <v>569</v>
      </c>
      <c r="B219" s="1">
        <v>134</v>
      </c>
    </row>
    <row r="220" spans="1:8" x14ac:dyDescent="0.3">
      <c r="A220" s="1" t="s">
        <v>241</v>
      </c>
      <c r="B220" s="1">
        <f>82/B219</f>
        <v>0.61194029850746268</v>
      </c>
    </row>
    <row r="221" spans="1:8" x14ac:dyDescent="0.3">
      <c r="A221" s="1" t="s">
        <v>584</v>
      </c>
      <c r="B221" s="1">
        <f>1-B220</f>
        <v>0.38805970149253732</v>
      </c>
    </row>
    <row r="222" spans="1:8" ht="16.2" x14ac:dyDescent="0.3">
      <c r="A222" s="1" t="s">
        <v>582</v>
      </c>
      <c r="B222" s="1">
        <f>NORMSINV(0.025)</f>
        <v>-1.9599639845400538</v>
      </c>
    </row>
    <row r="224" spans="1:8" x14ac:dyDescent="0.3">
      <c r="B224" s="167">
        <f>B220-B222*SQRT(B220*B221/B219)</f>
        <v>0.69444895044544874</v>
      </c>
      <c r="C224" s="167" t="s">
        <v>583</v>
      </c>
      <c r="D224" s="167">
        <f>B220+B222*SQRT(B220*B221/B219)</f>
        <v>0.52943164656947661</v>
      </c>
    </row>
    <row r="225" spans="1:8" ht="14.4" thickBot="1" x14ac:dyDescent="0.35"/>
    <row r="226" spans="1:8" ht="16.2" thickBot="1" x14ac:dyDescent="0.35">
      <c r="A226" s="304" t="s">
        <v>100</v>
      </c>
      <c r="B226" s="305"/>
      <c r="C226" s="305"/>
      <c r="D226" s="305"/>
      <c r="E226" s="305"/>
      <c r="F226" s="305"/>
      <c r="G226" s="305"/>
      <c r="H226" s="306"/>
    </row>
    <row r="227" spans="1:8" x14ac:dyDescent="0.3">
      <c r="A227" s="1" t="s">
        <v>569</v>
      </c>
      <c r="B227" s="1">
        <v>95</v>
      </c>
    </row>
    <row r="228" spans="1:8" x14ac:dyDescent="0.3">
      <c r="A228" s="1" t="s">
        <v>241</v>
      </c>
      <c r="B228" s="1">
        <f>29/B227</f>
        <v>0.30526315789473685</v>
      </c>
    </row>
    <row r="229" spans="1:8" x14ac:dyDescent="0.3">
      <c r="A229" s="1" t="s">
        <v>584</v>
      </c>
      <c r="B229" s="1">
        <f>1-B228</f>
        <v>0.6947368421052631</v>
      </c>
    </row>
    <row r="230" spans="1:8" ht="16.2" x14ac:dyDescent="0.3">
      <c r="A230" s="1" t="s">
        <v>582</v>
      </c>
      <c r="B230" s="1">
        <f>NORMSINV(0.005)</f>
        <v>-2.5758293035488999</v>
      </c>
    </row>
    <row r="232" spans="1:8" x14ac:dyDescent="0.3">
      <c r="A232" s="1" t="s">
        <v>53</v>
      </c>
      <c r="B232" s="167">
        <f>B228-B230*SQRT(B228*B229/B227)</f>
        <v>0.42696653748866303</v>
      </c>
      <c r="C232" s="167" t="s">
        <v>583</v>
      </c>
      <c r="D232" s="167">
        <f>B228+B230*SQRT(B228*B229/B227)</f>
        <v>0.18355977830081066</v>
      </c>
    </row>
    <row r="233" spans="1:8" x14ac:dyDescent="0.3">
      <c r="A233" s="1" t="s">
        <v>54</v>
      </c>
      <c r="B233" s="167" t="s">
        <v>576</v>
      </c>
    </row>
    <row r="234" spans="1:8" ht="14.4" thickBot="1" x14ac:dyDescent="0.35"/>
    <row r="235" spans="1:8" ht="16.2" thickBot="1" x14ac:dyDescent="0.35">
      <c r="A235" s="304" t="s">
        <v>208</v>
      </c>
      <c r="B235" s="305"/>
      <c r="C235" s="305"/>
      <c r="D235" s="305"/>
      <c r="E235" s="305"/>
      <c r="F235" s="305"/>
      <c r="G235" s="305"/>
      <c r="H235" s="306"/>
    </row>
    <row r="236" spans="1:8" x14ac:dyDescent="0.3">
      <c r="A236" s="1" t="s">
        <v>569</v>
      </c>
      <c r="B236" s="1">
        <v>96</v>
      </c>
    </row>
    <row r="237" spans="1:8" x14ac:dyDescent="0.3">
      <c r="A237" s="1" t="s">
        <v>241</v>
      </c>
      <c r="B237" s="1">
        <f>32/B236</f>
        <v>0.33333333333333331</v>
      </c>
    </row>
    <row r="238" spans="1:8" x14ac:dyDescent="0.3">
      <c r="A238" s="1" t="s">
        <v>584</v>
      </c>
      <c r="B238" s="1">
        <f>1-B237</f>
        <v>0.66666666666666674</v>
      </c>
    </row>
    <row r="239" spans="1:8" ht="16.2" x14ac:dyDescent="0.3">
      <c r="A239" s="1" t="s">
        <v>582</v>
      </c>
      <c r="B239" s="1">
        <f>NORMSINV(0.01)</f>
        <v>-2.3263478740408408</v>
      </c>
    </row>
    <row r="241" spans="1:8" x14ac:dyDescent="0.3">
      <c r="B241" s="167">
        <f>B237-B239*SQRT(B237*B238/B236)</f>
        <v>0.44525979760884937</v>
      </c>
      <c r="C241" s="167" t="s">
        <v>583</v>
      </c>
      <c r="D241" s="167">
        <f>B237+B239*SQRT(B237*B238/B236)</f>
        <v>0.22140686905781723</v>
      </c>
    </row>
    <row r="242" spans="1:8" ht="14.4" thickBot="1" x14ac:dyDescent="0.35"/>
    <row r="243" spans="1:8" ht="16.2" thickBot="1" x14ac:dyDescent="0.35">
      <c r="A243" s="304" t="s">
        <v>174</v>
      </c>
      <c r="B243" s="305"/>
      <c r="C243" s="305"/>
      <c r="D243" s="305"/>
      <c r="E243" s="305"/>
      <c r="F243" s="305"/>
      <c r="G243" s="305"/>
      <c r="H243" s="306"/>
    </row>
    <row r="244" spans="1:8" x14ac:dyDescent="0.3">
      <c r="A244" s="1" t="s">
        <v>569</v>
      </c>
      <c r="B244" s="1">
        <v>198</v>
      </c>
    </row>
    <row r="245" spans="1:8" x14ac:dyDescent="0.3">
      <c r="A245" s="1" t="s">
        <v>241</v>
      </c>
      <c r="B245" s="1">
        <f>98/B244</f>
        <v>0.49494949494949497</v>
      </c>
    </row>
    <row r="246" spans="1:8" x14ac:dyDescent="0.3">
      <c r="A246" s="1" t="s">
        <v>584</v>
      </c>
      <c r="B246" s="1">
        <f>1-B245</f>
        <v>0.50505050505050497</v>
      </c>
    </row>
    <row r="248" spans="1:8" ht="16.2" x14ac:dyDescent="0.3">
      <c r="A248" s="1" t="s">
        <v>582</v>
      </c>
      <c r="B248" s="1">
        <f>(B245-0.445)/SQRT(B245*B246/B244)</f>
        <v>1.4057751075692106</v>
      </c>
    </row>
    <row r="249" spans="1:8" x14ac:dyDescent="0.3">
      <c r="B249" s="1">
        <f>NORMSDIST(B248)</f>
        <v>0.92010454202725156</v>
      </c>
    </row>
    <row r="250" spans="1:8" x14ac:dyDescent="0.3">
      <c r="B250" s="167">
        <f>1-2*(1-B249)</f>
        <v>0.84020908405450312</v>
      </c>
    </row>
    <row r="251" spans="1:8" ht="14.4" thickBot="1" x14ac:dyDescent="0.35"/>
    <row r="252" spans="1:8" ht="16.2" thickBot="1" x14ac:dyDescent="0.35">
      <c r="A252" s="304" t="s">
        <v>209</v>
      </c>
      <c r="B252" s="305"/>
      <c r="C252" s="305"/>
      <c r="D252" s="305"/>
      <c r="E252" s="305"/>
      <c r="F252" s="305"/>
      <c r="G252" s="305"/>
      <c r="H252" s="306"/>
    </row>
    <row r="253" spans="1:8" x14ac:dyDescent="0.3">
      <c r="A253" s="1" t="s">
        <v>569</v>
      </c>
      <c r="B253" s="1">
        <v>15</v>
      </c>
    </row>
    <row r="254" spans="1:8" x14ac:dyDescent="0.3">
      <c r="A254" s="1" t="s">
        <v>571</v>
      </c>
      <c r="B254" s="1">
        <v>0.88</v>
      </c>
    </row>
    <row r="255" spans="1:8" x14ac:dyDescent="0.3">
      <c r="A255" s="170" t="s">
        <v>579</v>
      </c>
      <c r="B255" s="1">
        <v>0.05</v>
      </c>
    </row>
    <row r="257" spans="1:8" x14ac:dyDescent="0.3">
      <c r="B257" s="167">
        <f>14*B254*B254/CHIINV(0.025,14)</f>
        <v>0.41508562983875286</v>
      </c>
      <c r="C257" s="167">
        <f>14*B254*B254/CHIINV(0.975,14)</f>
        <v>1.9261196586106957</v>
      </c>
    </row>
    <row r="258" spans="1:8" ht="14.4" thickBot="1" x14ac:dyDescent="0.35"/>
    <row r="259" spans="1:8" ht="16.2" thickBot="1" x14ac:dyDescent="0.35">
      <c r="A259" s="304" t="s">
        <v>114</v>
      </c>
      <c r="B259" s="305"/>
      <c r="C259" s="305"/>
      <c r="D259" s="305"/>
      <c r="E259" s="305"/>
      <c r="F259" s="305"/>
      <c r="G259" s="305"/>
      <c r="H259" s="306"/>
    </row>
    <row r="260" spans="1:8" x14ac:dyDescent="0.3">
      <c r="A260" s="1" t="s">
        <v>569</v>
      </c>
      <c r="B260" s="1">
        <v>7</v>
      </c>
      <c r="E260" s="1">
        <v>79</v>
      </c>
      <c r="F260" s="1">
        <f>(E260-$E$125)^2</f>
        <v>18.367346938775562</v>
      </c>
    </row>
    <row r="261" spans="1:8" x14ac:dyDescent="0.3">
      <c r="A261" s="1" t="s">
        <v>575</v>
      </c>
      <c r="B261" s="1">
        <f>E267</f>
        <v>74.714285714285708</v>
      </c>
      <c r="E261" s="1">
        <v>73</v>
      </c>
      <c r="F261" s="1">
        <f t="shared" ref="F261:F266" si="4">(E261-$E$125)^2</f>
        <v>2.9387755102040609</v>
      </c>
    </row>
    <row r="262" spans="1:8" x14ac:dyDescent="0.3">
      <c r="A262" s="1" t="s">
        <v>571</v>
      </c>
      <c r="B262" s="1">
        <f>E269</f>
        <v>6.3956830678796068</v>
      </c>
      <c r="E262" s="1">
        <v>68</v>
      </c>
      <c r="F262" s="1">
        <f t="shared" si="4"/>
        <v>45.081632653061142</v>
      </c>
    </row>
    <row r="263" spans="1:8" x14ac:dyDescent="0.3">
      <c r="A263" s="1" t="s">
        <v>568</v>
      </c>
      <c r="B263" s="1">
        <f>TINV(0.05,6)</f>
        <v>2.4469118511449697</v>
      </c>
      <c r="E263" s="1">
        <v>77</v>
      </c>
      <c r="F263" s="1">
        <f t="shared" si="4"/>
        <v>5.2244897959183954</v>
      </c>
    </row>
    <row r="264" spans="1:8" x14ac:dyDescent="0.3">
      <c r="E264" s="1">
        <v>86</v>
      </c>
      <c r="F264" s="1">
        <f t="shared" si="4"/>
        <v>127.36734693877565</v>
      </c>
    </row>
    <row r="265" spans="1:8" x14ac:dyDescent="0.3">
      <c r="E265" s="1">
        <v>71</v>
      </c>
      <c r="F265" s="1">
        <f t="shared" si="4"/>
        <v>13.795918367346893</v>
      </c>
    </row>
    <row r="266" spans="1:8" x14ac:dyDescent="0.3">
      <c r="E266" s="1">
        <v>69</v>
      </c>
      <c r="F266" s="1">
        <f t="shared" si="4"/>
        <v>32.653061224489726</v>
      </c>
    </row>
    <row r="267" spans="1:8" x14ac:dyDescent="0.3">
      <c r="D267" s="1" t="s">
        <v>3</v>
      </c>
      <c r="E267" s="168">
        <f>AVERAGE(E260:E266)</f>
        <v>74.714285714285708</v>
      </c>
    </row>
    <row r="268" spans="1:8" x14ac:dyDescent="0.3">
      <c r="D268" s="1" t="s">
        <v>134</v>
      </c>
      <c r="E268" s="168">
        <f>VAR(E260:E266)</f>
        <v>40.904761904761905</v>
      </c>
      <c r="F268" s="168">
        <f>SUM(F260:F266)/6</f>
        <v>40.904761904761905</v>
      </c>
    </row>
    <row r="269" spans="1:8" ht="27.6" x14ac:dyDescent="0.3">
      <c r="D269" s="1" t="s">
        <v>4</v>
      </c>
      <c r="E269" s="168">
        <f>STDEV(E260:E266)</f>
        <v>6.3956830678796068</v>
      </c>
      <c r="F269" s="168">
        <f>SQRT(F268)</f>
        <v>6.3956830678796068</v>
      </c>
    </row>
    <row r="271" spans="1:8" x14ac:dyDescent="0.3">
      <c r="B271" s="167">
        <f>6*F268/CHIINV(0.1,6)</f>
        <v>23.056538863690673</v>
      </c>
      <c r="C271" s="167">
        <f>6*F268/CHIINV(0.9,6)</f>
        <v>111.34937518560969</v>
      </c>
    </row>
    <row r="272" spans="1:8" ht="14.4" thickBot="1" x14ac:dyDescent="0.35"/>
    <row r="273" spans="1:8" ht="16.2" thickBot="1" x14ac:dyDescent="0.35">
      <c r="A273" s="304" t="s">
        <v>210</v>
      </c>
      <c r="B273" s="305"/>
      <c r="C273" s="305"/>
      <c r="D273" s="305"/>
      <c r="E273" s="305"/>
      <c r="F273" s="305"/>
      <c r="G273" s="305"/>
      <c r="H273" s="306"/>
    </row>
    <row r="274" spans="1:8" ht="27.6" x14ac:dyDescent="0.3">
      <c r="A274" s="1" t="s">
        <v>569</v>
      </c>
      <c r="B274" s="1">
        <v>10</v>
      </c>
      <c r="D274" s="1" t="s">
        <v>532</v>
      </c>
    </row>
    <row r="275" spans="1:8" x14ac:dyDescent="0.3">
      <c r="A275" s="1" t="s">
        <v>575</v>
      </c>
      <c r="B275" s="1">
        <f>D285</f>
        <v>16.369999999999997</v>
      </c>
      <c r="D275" s="1">
        <v>18.2</v>
      </c>
      <c r="E275" s="1">
        <f>(D275-$D$141)^2</f>
        <v>3.3489000000000066</v>
      </c>
    </row>
    <row r="276" spans="1:8" x14ac:dyDescent="0.3">
      <c r="A276" s="1" t="s">
        <v>571</v>
      </c>
      <c r="B276" s="1">
        <f>D287</f>
        <v>5.3756756681266591</v>
      </c>
      <c r="D276" s="1">
        <v>25.9</v>
      </c>
      <c r="E276" s="1">
        <f t="shared" ref="E276:E284" si="5">(D276-$D$141)^2</f>
        <v>90.820900000000023</v>
      </c>
    </row>
    <row r="277" spans="1:8" x14ac:dyDescent="0.3">
      <c r="A277" s="1" t="s">
        <v>568</v>
      </c>
      <c r="B277" s="1">
        <f>TINV(0.01,9)</f>
        <v>3.2498355415921263</v>
      </c>
      <c r="D277" s="1">
        <v>6.3</v>
      </c>
      <c r="E277" s="1">
        <f t="shared" si="5"/>
        <v>101.40489999999994</v>
      </c>
    </row>
    <row r="278" spans="1:8" x14ac:dyDescent="0.3">
      <c r="D278" s="1">
        <v>11.8</v>
      </c>
      <c r="E278" s="1">
        <f t="shared" si="5"/>
        <v>20.88489999999997</v>
      </c>
    </row>
    <row r="279" spans="1:8" x14ac:dyDescent="0.3">
      <c r="D279" s="1">
        <v>15.4</v>
      </c>
      <c r="E279" s="1">
        <f t="shared" si="5"/>
        <v>0.9408999999999943</v>
      </c>
    </row>
    <row r="280" spans="1:8" x14ac:dyDescent="0.3">
      <c r="D280" s="1">
        <v>20.3</v>
      </c>
      <c r="E280" s="1">
        <f t="shared" si="5"/>
        <v>15.444900000000025</v>
      </c>
    </row>
    <row r="281" spans="1:8" x14ac:dyDescent="0.3">
      <c r="D281" s="1">
        <v>16.8</v>
      </c>
      <c r="E281" s="1">
        <f t="shared" si="5"/>
        <v>0.18490000000000281</v>
      </c>
    </row>
    <row r="282" spans="1:8" x14ac:dyDescent="0.3">
      <c r="D282" s="1">
        <v>19.5</v>
      </c>
      <c r="E282" s="1">
        <f t="shared" si="5"/>
        <v>9.7969000000000168</v>
      </c>
    </row>
    <row r="283" spans="1:8" x14ac:dyDescent="0.3">
      <c r="D283" s="1">
        <v>12.3</v>
      </c>
      <c r="E283" s="1">
        <f t="shared" si="5"/>
        <v>16.564899999999973</v>
      </c>
    </row>
    <row r="284" spans="1:8" x14ac:dyDescent="0.3">
      <c r="D284" s="1">
        <v>17.2</v>
      </c>
      <c r="E284" s="1">
        <f t="shared" si="5"/>
        <v>0.68890000000000307</v>
      </c>
    </row>
    <row r="285" spans="1:8" x14ac:dyDescent="0.3">
      <c r="C285" s="1" t="s">
        <v>3</v>
      </c>
      <c r="D285" s="1">
        <f>AVERAGE(D275:D284)</f>
        <v>16.369999999999997</v>
      </c>
    </row>
    <row r="286" spans="1:8" x14ac:dyDescent="0.3">
      <c r="C286" s="1" t="s">
        <v>134</v>
      </c>
      <c r="D286" s="1">
        <f>VAR(D275:D284)</f>
        <v>28.897888888889003</v>
      </c>
      <c r="E286" s="1">
        <f>SUM(E275:E284)/9</f>
        <v>28.897888888888879</v>
      </c>
    </row>
    <row r="287" spans="1:8" ht="27.6" x14ac:dyDescent="0.3">
      <c r="C287" s="1" t="s">
        <v>4</v>
      </c>
      <c r="D287" s="1">
        <f>STDEV(D275:D284)</f>
        <v>5.3756756681266591</v>
      </c>
      <c r="E287" s="1">
        <f>SQRT(E286)</f>
        <v>5.3756756681266475</v>
      </c>
    </row>
    <row r="289" spans="1:8" x14ac:dyDescent="0.3">
      <c r="A289" s="1" t="s">
        <v>134</v>
      </c>
      <c r="B289" s="1">
        <f>9*D286/CHIINV(0.05,9)</f>
        <v>15.372146360012604</v>
      </c>
      <c r="C289" s="1">
        <f>9*D286/CHIINV(0.95,9)</f>
        <v>78.217195107316499</v>
      </c>
    </row>
    <row r="290" spans="1:8" x14ac:dyDescent="0.3">
      <c r="A290" s="1" t="s">
        <v>585</v>
      </c>
      <c r="B290" s="167">
        <f>SQRT(B289)</f>
        <v>3.9207328855728751</v>
      </c>
      <c r="C290" s="167">
        <f>SQRT(C289)</f>
        <v>8.8440485699320135</v>
      </c>
    </row>
    <row r="291" spans="1:8" ht="14.4" thickBot="1" x14ac:dyDescent="0.35"/>
    <row r="292" spans="1:8" ht="16.2" thickBot="1" x14ac:dyDescent="0.35">
      <c r="A292" s="304" t="s">
        <v>123</v>
      </c>
      <c r="B292" s="305"/>
      <c r="C292" s="305"/>
      <c r="D292" s="305"/>
      <c r="E292" s="305"/>
      <c r="F292" s="305"/>
      <c r="G292" s="305"/>
      <c r="H292" s="306"/>
    </row>
    <row r="293" spans="1:8" x14ac:dyDescent="0.3">
      <c r="A293" s="1" t="s">
        <v>569</v>
      </c>
      <c r="B293" s="1">
        <v>25</v>
      </c>
    </row>
    <row r="294" spans="1:8" x14ac:dyDescent="0.3">
      <c r="A294" s="1" t="s">
        <v>575</v>
      </c>
      <c r="B294" s="1">
        <f>1508/25</f>
        <v>60.32</v>
      </c>
    </row>
    <row r="295" spans="1:8" x14ac:dyDescent="0.3">
      <c r="A295" s="1" t="s">
        <v>571</v>
      </c>
      <c r="B295" s="1">
        <f>SQRT((95628+25*$B$146*$B$146-2*$B$146*(1508))/24)</f>
        <v>13.942500971250942</v>
      </c>
    </row>
    <row r="296" spans="1:8" x14ac:dyDescent="0.3">
      <c r="A296" s="1" t="s">
        <v>134</v>
      </c>
      <c r="B296" s="1">
        <f>B295*B295</f>
        <v>194.39333333333346</v>
      </c>
    </row>
    <row r="299" spans="1:8" x14ac:dyDescent="0.3">
      <c r="A299" s="1" t="s">
        <v>134</v>
      </c>
      <c r="B299" s="1">
        <f>24*B296/CHIINV(0.025,24)</f>
        <v>118.52024364363734</v>
      </c>
      <c r="C299" s="1">
        <f>24*B296/CHIINV(0.975,24)</f>
        <v>376.21026422510613</v>
      </c>
    </row>
    <row r="300" spans="1:8" x14ac:dyDescent="0.3">
      <c r="A300" s="1" t="s">
        <v>585</v>
      </c>
      <c r="B300" s="167">
        <f>SQRT(B299)</f>
        <v>10.886700310178348</v>
      </c>
      <c r="C300" s="167">
        <f>SQRT(C299)</f>
        <v>19.396140446622521</v>
      </c>
    </row>
    <row r="301" spans="1:8" ht="14.4" thickBot="1" x14ac:dyDescent="0.35"/>
    <row r="302" spans="1:8" ht="16.2" thickBot="1" x14ac:dyDescent="0.35">
      <c r="A302" s="304" t="s">
        <v>211</v>
      </c>
      <c r="B302" s="305"/>
      <c r="C302" s="305"/>
      <c r="D302" s="305"/>
      <c r="E302" s="305"/>
      <c r="F302" s="305"/>
      <c r="G302" s="305"/>
      <c r="H302" s="306"/>
    </row>
    <row r="303" spans="1:8" ht="27.6" x14ac:dyDescent="0.3">
      <c r="A303" s="1" t="s">
        <v>586</v>
      </c>
    </row>
    <row r="304" spans="1:8" ht="13.95" customHeight="1" x14ac:dyDescent="0.3">
      <c r="A304" s="1" t="s">
        <v>572</v>
      </c>
      <c r="B304" s="1">
        <f>B300</f>
        <v>10.886700310178348</v>
      </c>
      <c r="C304" s="307" t="s">
        <v>588</v>
      </c>
      <c r="D304" s="307"/>
      <c r="E304" s="307"/>
      <c r="F304" s="307"/>
      <c r="G304" s="307"/>
      <c r="H304" s="307"/>
    </row>
    <row r="305" spans="1:8" x14ac:dyDescent="0.3">
      <c r="A305" s="1" t="s">
        <v>587</v>
      </c>
      <c r="B305" s="1">
        <f>B295</f>
        <v>13.942500971250942</v>
      </c>
      <c r="C305" s="307"/>
      <c r="D305" s="307"/>
      <c r="E305" s="307"/>
      <c r="F305" s="307"/>
      <c r="G305" s="307"/>
      <c r="H305" s="307"/>
    </row>
    <row r="306" spans="1:8" x14ac:dyDescent="0.3">
      <c r="A306" s="1" t="s">
        <v>573</v>
      </c>
      <c r="B306" s="1">
        <f>C300</f>
        <v>19.396140446622521</v>
      </c>
      <c r="C306" s="307"/>
      <c r="D306" s="307"/>
      <c r="E306" s="307"/>
      <c r="F306" s="307"/>
      <c r="G306" s="307"/>
      <c r="H306" s="307"/>
    </row>
    <row r="307" spans="1:8" x14ac:dyDescent="0.3">
      <c r="C307" s="307"/>
      <c r="D307" s="307"/>
      <c r="E307" s="307"/>
      <c r="F307" s="307"/>
      <c r="G307" s="307"/>
      <c r="H307" s="307"/>
    </row>
    <row r="308" spans="1:8" ht="14.4" thickBot="1" x14ac:dyDescent="0.35"/>
    <row r="309" spans="1:8" ht="16.2" thickBot="1" x14ac:dyDescent="0.35">
      <c r="A309" s="304" t="s">
        <v>304</v>
      </c>
      <c r="B309" s="305"/>
      <c r="C309" s="305"/>
      <c r="D309" s="305"/>
      <c r="E309" s="305"/>
      <c r="F309" s="305"/>
      <c r="G309" s="305"/>
      <c r="H309" s="306"/>
    </row>
    <row r="310" spans="1:8" ht="13.95" customHeight="1" x14ac:dyDescent="0.3">
      <c r="A310" s="311" t="s">
        <v>589</v>
      </c>
      <c r="B310" s="311"/>
      <c r="C310" s="311"/>
      <c r="D310" s="311"/>
      <c r="E310" s="311"/>
      <c r="F310" s="311"/>
      <c r="G310" s="311"/>
      <c r="H310" s="311"/>
    </row>
    <row r="311" spans="1:8" x14ac:dyDescent="0.3">
      <c r="A311" s="307"/>
      <c r="B311" s="307"/>
      <c r="C311" s="307"/>
      <c r="D311" s="307"/>
      <c r="E311" s="307"/>
      <c r="F311" s="307"/>
      <c r="G311" s="307"/>
      <c r="H311" s="307"/>
    </row>
    <row r="312" spans="1:8" x14ac:dyDescent="0.3">
      <c r="A312" s="307"/>
      <c r="B312" s="307"/>
      <c r="C312" s="307"/>
      <c r="D312" s="307"/>
      <c r="E312" s="307"/>
      <c r="F312" s="307"/>
      <c r="G312" s="307"/>
      <c r="H312" s="307"/>
    </row>
    <row r="313" spans="1:8" ht="14.4" thickBot="1" x14ac:dyDescent="0.35"/>
    <row r="314" spans="1:8" ht="16.2" thickBot="1" x14ac:dyDescent="0.35">
      <c r="A314" s="304" t="s">
        <v>305</v>
      </c>
      <c r="B314" s="305"/>
      <c r="C314" s="305"/>
      <c r="D314" s="312"/>
      <c r="E314" s="312"/>
      <c r="F314" s="312"/>
      <c r="G314" s="312"/>
      <c r="H314" s="313"/>
    </row>
    <row r="315" spans="1:8" ht="13.95" customHeight="1" x14ac:dyDescent="0.3">
      <c r="A315" s="1" t="s">
        <v>569</v>
      </c>
      <c r="B315" s="1">
        <v>18</v>
      </c>
      <c r="D315" s="307" t="s">
        <v>591</v>
      </c>
      <c r="E315" s="307"/>
      <c r="F315" s="307"/>
      <c r="G315" s="307"/>
      <c r="H315" s="307"/>
    </row>
    <row r="316" spans="1:8" x14ac:dyDescent="0.3">
      <c r="A316" s="1" t="s">
        <v>571</v>
      </c>
      <c r="B316" s="1">
        <v>10.4</v>
      </c>
      <c r="D316" s="307"/>
      <c r="E316" s="307"/>
      <c r="F316" s="307"/>
      <c r="G316" s="307"/>
      <c r="H316" s="307"/>
    </row>
    <row r="317" spans="1:8" x14ac:dyDescent="0.3">
      <c r="A317" s="1" t="s">
        <v>134</v>
      </c>
      <c r="B317" s="1">
        <f>B316*B316</f>
        <v>108.16000000000001</v>
      </c>
    </row>
    <row r="318" spans="1:8" x14ac:dyDescent="0.3">
      <c r="A318" s="1" t="s">
        <v>590</v>
      </c>
      <c r="B318" s="1">
        <v>0.1</v>
      </c>
    </row>
    <row r="320" spans="1:8" x14ac:dyDescent="0.3">
      <c r="B320" s="167">
        <f>17*B317/CHIINV(0.05,17)</f>
        <v>66.651414041073281</v>
      </c>
      <c r="C320" s="167">
        <f>17*B317/CHIINV(0.95,17)</f>
        <v>212.0353834288197</v>
      </c>
    </row>
    <row r="321" spans="1:8" ht="14.4" thickBot="1" x14ac:dyDescent="0.35"/>
    <row r="322" spans="1:8" ht="16.2" thickBot="1" x14ac:dyDescent="0.35">
      <c r="A322" s="304" t="s">
        <v>126</v>
      </c>
      <c r="B322" s="305"/>
      <c r="C322" s="305"/>
      <c r="D322" s="305"/>
      <c r="E322" s="305"/>
      <c r="F322" s="305"/>
      <c r="G322" s="305"/>
      <c r="H322" s="306"/>
    </row>
    <row r="323" spans="1:8" x14ac:dyDescent="0.3">
      <c r="A323" s="1" t="s">
        <v>569</v>
      </c>
      <c r="B323" s="1">
        <v>15</v>
      </c>
    </row>
    <row r="324" spans="1:8" x14ac:dyDescent="0.3">
      <c r="A324" s="1" t="s">
        <v>571</v>
      </c>
      <c r="B324" s="1">
        <v>0.23599999999999999</v>
      </c>
    </row>
    <row r="325" spans="1:8" x14ac:dyDescent="0.3">
      <c r="A325" s="1" t="s">
        <v>134</v>
      </c>
      <c r="B325" s="1">
        <f>B324*B324</f>
        <v>5.5695999999999996E-2</v>
      </c>
    </row>
    <row r="326" spans="1:8" x14ac:dyDescent="0.3">
      <c r="A326" s="1" t="s">
        <v>590</v>
      </c>
      <c r="B326" s="1">
        <v>0.05</v>
      </c>
    </row>
    <row r="328" spans="1:8" x14ac:dyDescent="0.3">
      <c r="A328" s="1" t="s">
        <v>53</v>
      </c>
      <c r="B328" s="167">
        <f>14*B325/CHIINV(0.025,14)*100</f>
        <v>2.985357598075824</v>
      </c>
      <c r="C328" s="167">
        <f>14*B325/CHIINV(0.975,14)*100</f>
        <v>13.852939114925272</v>
      </c>
    </row>
    <row r="329" spans="1:8" ht="27.6" x14ac:dyDescent="0.3">
      <c r="A329" s="1" t="s">
        <v>54</v>
      </c>
      <c r="B329" s="167" t="s">
        <v>592</v>
      </c>
    </row>
    <row r="330" spans="1:8" ht="14.4" thickBot="1" x14ac:dyDescent="0.35"/>
    <row r="331" spans="1:8" ht="16.2" thickBot="1" x14ac:dyDescent="0.35">
      <c r="A331" s="304" t="s">
        <v>306</v>
      </c>
      <c r="B331" s="305"/>
      <c r="C331" s="305"/>
      <c r="D331" s="305"/>
      <c r="E331" s="305"/>
      <c r="F331" s="305"/>
      <c r="G331" s="305"/>
      <c r="H331" s="306"/>
    </row>
    <row r="332" spans="1:8" ht="27.6" x14ac:dyDescent="0.3">
      <c r="B332" s="1" t="s">
        <v>532</v>
      </c>
    </row>
    <row r="333" spans="1:8" x14ac:dyDescent="0.3">
      <c r="A333" s="1">
        <v>1</v>
      </c>
      <c r="B333" s="1">
        <v>19.8</v>
      </c>
      <c r="C333" s="1">
        <f>(B333-$B$342)^2</f>
        <v>0.21777777777777624</v>
      </c>
    </row>
    <row r="334" spans="1:8" x14ac:dyDescent="0.3">
      <c r="A334" s="1">
        <v>2</v>
      </c>
      <c r="B334" s="1">
        <v>21.2</v>
      </c>
      <c r="C334" s="1">
        <f t="shared" ref="C334:C341" si="6">(B334-$B$342)^2</f>
        <v>0.8711111111111115</v>
      </c>
    </row>
    <row r="335" spans="1:8" x14ac:dyDescent="0.3">
      <c r="A335" s="1">
        <v>3</v>
      </c>
      <c r="B335" s="1">
        <v>18.600000000000001</v>
      </c>
      <c r="C335" s="1">
        <f t="shared" si="6"/>
        <v>2.7777777777777697</v>
      </c>
    </row>
    <row r="336" spans="1:8" x14ac:dyDescent="0.3">
      <c r="A336" s="1">
        <v>4</v>
      </c>
      <c r="B336" s="1">
        <v>20.399999999999999</v>
      </c>
      <c r="C336" s="1">
        <f t="shared" si="6"/>
        <v>1.7777777777777653E-2</v>
      </c>
    </row>
    <row r="337" spans="1:8" x14ac:dyDescent="0.3">
      <c r="A337" s="1">
        <v>5</v>
      </c>
      <c r="B337" s="1">
        <v>21.6</v>
      </c>
      <c r="C337" s="1">
        <f t="shared" si="6"/>
        <v>1.7777777777777841</v>
      </c>
    </row>
    <row r="338" spans="1:8" x14ac:dyDescent="0.3">
      <c r="A338" s="1">
        <v>6</v>
      </c>
      <c r="B338" s="1">
        <v>19.8</v>
      </c>
      <c r="C338" s="1">
        <f t="shared" si="6"/>
        <v>0.21777777777777624</v>
      </c>
    </row>
    <row r="339" spans="1:8" x14ac:dyDescent="0.3">
      <c r="A339" s="1">
        <v>7</v>
      </c>
      <c r="B339" s="1">
        <v>19.899999999999999</v>
      </c>
      <c r="C339" s="1">
        <f t="shared" si="6"/>
        <v>0.13444444444444478</v>
      </c>
    </row>
    <row r="340" spans="1:8" x14ac:dyDescent="0.3">
      <c r="A340" s="1">
        <v>8</v>
      </c>
      <c r="B340" s="1">
        <v>20.3</v>
      </c>
      <c r="C340" s="1">
        <f t="shared" si="6"/>
        <v>1.1111111111112217E-3</v>
      </c>
    </row>
    <row r="341" spans="1:8" x14ac:dyDescent="0.3">
      <c r="A341" s="1">
        <v>9</v>
      </c>
      <c r="B341" s="1">
        <v>20.8</v>
      </c>
      <c r="C341" s="1">
        <f t="shared" si="6"/>
        <v>0.28444444444444622</v>
      </c>
    </row>
    <row r="342" spans="1:8" x14ac:dyDescent="0.3">
      <c r="A342" s="1" t="s">
        <v>3</v>
      </c>
      <c r="B342" s="1">
        <f>AVERAGE(B333:B341)</f>
        <v>20.266666666666666</v>
      </c>
    </row>
    <row r="343" spans="1:8" x14ac:dyDescent="0.3">
      <c r="A343" s="1" t="s">
        <v>134</v>
      </c>
      <c r="B343" s="1">
        <f>VAR(B333:B341)</f>
        <v>0.78749999999999976</v>
      </c>
      <c r="C343" s="1">
        <f>SUM(C333:C341)/8</f>
        <v>0.78749999999999976</v>
      </c>
    </row>
    <row r="344" spans="1:8" x14ac:dyDescent="0.3">
      <c r="A344" s="1" t="s">
        <v>585</v>
      </c>
      <c r="B344" s="1">
        <f>STDEV(B333:B341)</f>
        <v>0.88741196746494222</v>
      </c>
      <c r="C344" s="1">
        <f>SQRT(C343)</f>
        <v>0.88741196746494222</v>
      </c>
    </row>
    <row r="346" spans="1:8" x14ac:dyDescent="0.3">
      <c r="B346" s="167">
        <f>8*B343/CHIINV(0.05,8)</f>
        <v>0.40625993538043004</v>
      </c>
      <c r="C346" s="167">
        <f>8*B343/CHIINV(0.95,8)</f>
        <v>2.3054655543635731</v>
      </c>
    </row>
    <row r="347" spans="1:8" ht="14.4" thickBot="1" x14ac:dyDescent="0.35"/>
    <row r="348" spans="1:8" ht="16.2" thickBot="1" x14ac:dyDescent="0.35">
      <c r="A348" s="304" t="s">
        <v>143</v>
      </c>
      <c r="B348" s="305"/>
      <c r="C348" s="305"/>
      <c r="D348" s="305"/>
      <c r="E348" s="305"/>
      <c r="F348" s="305"/>
      <c r="G348" s="305"/>
      <c r="H348" s="306"/>
    </row>
    <row r="350" spans="1:8" ht="15" customHeight="1" x14ac:dyDescent="0.3">
      <c r="E350" s="173" t="s">
        <v>594</v>
      </c>
    </row>
    <row r="351" spans="1:8" ht="15.75" customHeight="1" x14ac:dyDescent="0.3"/>
    <row r="355" spans="1:5" ht="18" x14ac:dyDescent="0.4">
      <c r="D355" s="173" t="s">
        <v>595</v>
      </c>
    </row>
    <row r="359" spans="1:5" x14ac:dyDescent="0.3">
      <c r="D359" s="1" t="s">
        <v>597</v>
      </c>
    </row>
    <row r="360" spans="1:5" x14ac:dyDescent="0.3">
      <c r="A360" s="1">
        <v>1</v>
      </c>
      <c r="B360" s="1">
        <v>485</v>
      </c>
      <c r="C360" s="1">
        <v>452</v>
      </c>
      <c r="D360" s="1">
        <f>B360-C360</f>
        <v>33</v>
      </c>
      <c r="E360" s="1">
        <f>(D360-$D$370)^2</f>
        <v>18.489999999999977</v>
      </c>
    </row>
    <row r="361" spans="1:5" x14ac:dyDescent="0.3">
      <c r="A361" s="1">
        <v>2</v>
      </c>
      <c r="B361" s="1">
        <v>423</v>
      </c>
      <c r="C361" s="1">
        <v>386</v>
      </c>
      <c r="D361" s="1">
        <f t="shared" ref="D361:D369" si="7">B361-C361</f>
        <v>37</v>
      </c>
      <c r="E361" s="1">
        <f t="shared" ref="E361:E369" si="8">(D361-$D$370)^2</f>
        <v>8.999999999999829E-2</v>
      </c>
    </row>
    <row r="362" spans="1:5" x14ac:dyDescent="0.3">
      <c r="A362" s="1">
        <v>3</v>
      </c>
      <c r="B362" s="1">
        <v>515</v>
      </c>
      <c r="C362" s="1">
        <v>502</v>
      </c>
      <c r="D362" s="1">
        <f t="shared" si="7"/>
        <v>13</v>
      </c>
      <c r="E362" s="1">
        <f t="shared" si="8"/>
        <v>590.4899999999999</v>
      </c>
    </row>
    <row r="363" spans="1:5" x14ac:dyDescent="0.3">
      <c r="A363" s="1">
        <v>4</v>
      </c>
      <c r="B363" s="1">
        <v>425</v>
      </c>
      <c r="C363" s="1">
        <v>376</v>
      </c>
      <c r="D363" s="1">
        <f t="shared" si="7"/>
        <v>49</v>
      </c>
      <c r="E363" s="1">
        <f t="shared" si="8"/>
        <v>136.89000000000007</v>
      </c>
    </row>
    <row r="364" spans="1:5" x14ac:dyDescent="0.3">
      <c r="A364" s="1">
        <v>5</v>
      </c>
      <c r="B364" s="1">
        <v>653</v>
      </c>
      <c r="C364" s="1">
        <v>605</v>
      </c>
      <c r="D364" s="1">
        <f t="shared" si="7"/>
        <v>48</v>
      </c>
      <c r="E364" s="1">
        <f t="shared" si="8"/>
        <v>114.49000000000007</v>
      </c>
    </row>
    <row r="365" spans="1:5" x14ac:dyDescent="0.3">
      <c r="A365" s="1">
        <v>6</v>
      </c>
      <c r="B365" s="1">
        <v>386</v>
      </c>
      <c r="C365" s="1">
        <v>380</v>
      </c>
      <c r="D365" s="1">
        <f t="shared" si="7"/>
        <v>6</v>
      </c>
      <c r="E365" s="1">
        <f t="shared" si="8"/>
        <v>979.68999999999983</v>
      </c>
    </row>
    <row r="366" spans="1:5" x14ac:dyDescent="0.3">
      <c r="A366" s="1">
        <v>7</v>
      </c>
      <c r="B366" s="1">
        <v>426</v>
      </c>
      <c r="C366" s="1">
        <v>395</v>
      </c>
      <c r="D366" s="1">
        <f t="shared" si="7"/>
        <v>31</v>
      </c>
      <c r="E366" s="1">
        <f t="shared" si="8"/>
        <v>39.689999999999962</v>
      </c>
    </row>
    <row r="367" spans="1:5" x14ac:dyDescent="0.3">
      <c r="A367" s="1">
        <v>8</v>
      </c>
      <c r="B367" s="1">
        <v>473</v>
      </c>
      <c r="C367" s="1">
        <v>411</v>
      </c>
      <c r="D367" s="1">
        <f t="shared" si="7"/>
        <v>62</v>
      </c>
      <c r="E367" s="1">
        <f t="shared" si="8"/>
        <v>610.09000000000015</v>
      </c>
    </row>
    <row r="368" spans="1:5" x14ac:dyDescent="0.3">
      <c r="A368" s="1">
        <v>9</v>
      </c>
      <c r="B368" s="1">
        <v>454</v>
      </c>
      <c r="C368" s="1">
        <v>415</v>
      </c>
      <c r="D368" s="1">
        <f t="shared" si="7"/>
        <v>39</v>
      </c>
      <c r="E368" s="1">
        <f t="shared" si="8"/>
        <v>2.8900000000000095</v>
      </c>
    </row>
    <row r="369" spans="1:8" x14ac:dyDescent="0.3">
      <c r="A369" s="1">
        <v>10</v>
      </c>
      <c r="B369" s="1">
        <v>496</v>
      </c>
      <c r="C369" s="1">
        <v>441</v>
      </c>
      <c r="D369" s="1">
        <f t="shared" si="7"/>
        <v>55</v>
      </c>
      <c r="E369" s="1">
        <f t="shared" si="8"/>
        <v>313.29000000000008</v>
      </c>
    </row>
    <row r="370" spans="1:8" x14ac:dyDescent="0.3">
      <c r="D370" s="1">
        <f>AVERAGE(D360:D369)</f>
        <v>37.299999999999997</v>
      </c>
      <c r="E370" s="1">
        <f>SUM(E360:E369)/9</f>
        <v>311.78888888888889</v>
      </c>
      <c r="F370" s="1" t="s">
        <v>599</v>
      </c>
    </row>
    <row r="371" spans="1:8" x14ac:dyDescent="0.3">
      <c r="E371" s="1">
        <f>SQRT(E370)</f>
        <v>17.65754481486282</v>
      </c>
      <c r="F371" s="1" t="s">
        <v>596</v>
      </c>
    </row>
    <row r="373" spans="1:8" ht="18.600000000000001" x14ac:dyDescent="0.3">
      <c r="A373" s="1" t="s">
        <v>598</v>
      </c>
      <c r="B373" s="1">
        <f>TINV(0.05,9)</f>
        <v>2.2621571627982053</v>
      </c>
    </row>
    <row r="375" spans="1:8" x14ac:dyDescent="0.3">
      <c r="B375" s="1">
        <f>B373*E371/SQRT(10)</f>
        <v>12.631446625798622</v>
      </c>
    </row>
    <row r="378" spans="1:8" ht="27.6" x14ac:dyDescent="0.3">
      <c r="A378" s="1" t="s">
        <v>574</v>
      </c>
      <c r="B378" s="167">
        <f>$D$370-$B$375</f>
        <v>24.668553374201373</v>
      </c>
      <c r="C378" s="167">
        <f>$D$370+$B$375</f>
        <v>49.931446625798621</v>
      </c>
    </row>
    <row r="379" spans="1:8" ht="14.4" thickBot="1" x14ac:dyDescent="0.35"/>
    <row r="380" spans="1:8" ht="16.2" thickBot="1" x14ac:dyDescent="0.35">
      <c r="A380" s="304" t="s">
        <v>308</v>
      </c>
      <c r="B380" s="305"/>
      <c r="C380" s="305"/>
      <c r="D380" s="305"/>
      <c r="E380" s="305"/>
      <c r="F380" s="305"/>
      <c r="G380" s="305"/>
      <c r="H380" s="306"/>
    </row>
    <row r="382" spans="1:8" ht="15.6" x14ac:dyDescent="0.3">
      <c r="G382" s="173" t="s">
        <v>594</v>
      </c>
    </row>
    <row r="387" spans="1:6" ht="18" x14ac:dyDescent="0.4">
      <c r="F387" s="173" t="s">
        <v>595</v>
      </c>
    </row>
    <row r="389" spans="1:6" x14ac:dyDescent="0.3">
      <c r="D389" s="1" t="s">
        <v>600</v>
      </c>
    </row>
    <row r="390" spans="1:6" x14ac:dyDescent="0.3">
      <c r="A390" s="1">
        <v>1</v>
      </c>
      <c r="B390" s="1">
        <v>212</v>
      </c>
      <c r="C390" s="1">
        <v>237</v>
      </c>
      <c r="D390" s="1">
        <f t="shared" ref="D390:D395" si="9">B390-C390</f>
        <v>-25</v>
      </c>
      <c r="E390" s="1">
        <f t="shared" ref="E390:E395" si="10">(D390-$D$396)^2</f>
        <v>306.25</v>
      </c>
    </row>
    <row r="391" spans="1:6" x14ac:dyDescent="0.3">
      <c r="A391" s="1">
        <v>2</v>
      </c>
      <c r="B391" s="1">
        <v>282</v>
      </c>
      <c r="C391" s="1">
        <v>291</v>
      </c>
      <c r="D391" s="1">
        <f t="shared" si="9"/>
        <v>-9</v>
      </c>
      <c r="E391" s="1">
        <f t="shared" si="10"/>
        <v>2.25</v>
      </c>
    </row>
    <row r="392" spans="1:6" x14ac:dyDescent="0.3">
      <c r="A392" s="1">
        <v>3</v>
      </c>
      <c r="B392" s="1">
        <v>203</v>
      </c>
      <c r="C392" s="1">
        <v>191</v>
      </c>
      <c r="D392" s="1">
        <f t="shared" si="9"/>
        <v>12</v>
      </c>
      <c r="E392" s="1">
        <f t="shared" si="10"/>
        <v>380.25</v>
      </c>
    </row>
    <row r="393" spans="1:6" x14ac:dyDescent="0.3">
      <c r="A393" s="1">
        <v>4</v>
      </c>
      <c r="B393" s="1">
        <v>327</v>
      </c>
      <c r="C393" s="1">
        <v>341</v>
      </c>
      <c r="D393" s="1">
        <f t="shared" si="9"/>
        <v>-14</v>
      </c>
      <c r="E393" s="1">
        <f t="shared" si="10"/>
        <v>42.25</v>
      </c>
    </row>
    <row r="394" spans="1:6" x14ac:dyDescent="0.3">
      <c r="A394" s="1">
        <v>5</v>
      </c>
      <c r="B394" s="1">
        <v>165</v>
      </c>
      <c r="C394" s="1">
        <v>192</v>
      </c>
      <c r="D394" s="1">
        <f t="shared" si="9"/>
        <v>-27</v>
      </c>
      <c r="E394" s="1">
        <f t="shared" si="10"/>
        <v>380.25</v>
      </c>
    </row>
    <row r="395" spans="1:6" x14ac:dyDescent="0.3">
      <c r="A395" s="1">
        <v>6</v>
      </c>
      <c r="B395" s="1">
        <v>198</v>
      </c>
      <c r="C395" s="1">
        <v>180</v>
      </c>
      <c r="D395" s="1">
        <f t="shared" si="9"/>
        <v>18</v>
      </c>
      <c r="E395" s="1">
        <f t="shared" si="10"/>
        <v>650.25</v>
      </c>
    </row>
    <row r="396" spans="1:6" x14ac:dyDescent="0.3">
      <c r="D396" s="1">
        <f>AVERAGE(D390:D395)</f>
        <v>-7.5</v>
      </c>
      <c r="E396" s="1">
        <f>SUM(E390:E395)/5</f>
        <v>352.3</v>
      </c>
    </row>
    <row r="397" spans="1:6" x14ac:dyDescent="0.3">
      <c r="E397" s="1">
        <f>SQRT(E396)</f>
        <v>18.769656363396749</v>
      </c>
    </row>
    <row r="399" spans="1:6" ht="18.600000000000001" x14ac:dyDescent="0.3">
      <c r="A399" s="1" t="s">
        <v>598</v>
      </c>
      <c r="B399" s="1">
        <f>TINV(0.1,5)</f>
        <v>2.0150483733330233</v>
      </c>
    </row>
    <row r="401" spans="1:8" x14ac:dyDescent="0.3">
      <c r="B401" s="1">
        <f>B399*E397/SQRT(5)</f>
        <v>16.91440774773405</v>
      </c>
    </row>
    <row r="404" spans="1:8" ht="30" customHeight="1" x14ac:dyDescent="0.3">
      <c r="A404" s="1" t="s">
        <v>574</v>
      </c>
      <c r="B404" s="167">
        <f>$D$396-$B$401</f>
        <v>-24.41440774773405</v>
      </c>
      <c r="C404" s="167">
        <f>$D$396+$B$401</f>
        <v>9.4144077477340495</v>
      </c>
      <c r="D404" s="307" t="s">
        <v>601</v>
      </c>
      <c r="E404" s="307"/>
      <c r="F404" s="307"/>
    </row>
    <row r="405" spans="1:8" ht="14.4" thickBot="1" x14ac:dyDescent="0.35"/>
    <row r="406" spans="1:8" ht="16.2" thickBot="1" x14ac:dyDescent="0.35">
      <c r="A406" s="304" t="s">
        <v>156</v>
      </c>
      <c r="B406" s="305"/>
      <c r="C406" s="305"/>
      <c r="D406" s="305"/>
      <c r="E406" s="305"/>
      <c r="F406" s="305"/>
      <c r="G406" s="305"/>
      <c r="H406" s="306"/>
    </row>
    <row r="407" spans="1:8" ht="15.6" x14ac:dyDescent="0.3">
      <c r="A407" s="174"/>
      <c r="B407" s="25" t="s">
        <v>602</v>
      </c>
      <c r="C407" s="25" t="s">
        <v>603</v>
      </c>
      <c r="D407" s="25"/>
      <c r="E407" s="25"/>
      <c r="F407" s="25"/>
      <c r="G407" s="25"/>
      <c r="H407" s="25"/>
    </row>
    <row r="408" spans="1:8" x14ac:dyDescent="0.3">
      <c r="A408" s="1" t="s">
        <v>569</v>
      </c>
      <c r="B408" s="1">
        <v>40</v>
      </c>
      <c r="C408" s="1">
        <v>61</v>
      </c>
    </row>
    <row r="409" spans="1:8" x14ac:dyDescent="0.3">
      <c r="A409" s="1" t="s">
        <v>3</v>
      </c>
      <c r="B409" s="1">
        <v>322.12</v>
      </c>
      <c r="C409" s="1">
        <v>304.61</v>
      </c>
      <c r="D409" s="1">
        <f>B409-C409</f>
        <v>17.509999999999991</v>
      </c>
    </row>
    <row r="410" spans="1:8" x14ac:dyDescent="0.3">
      <c r="A410" s="1" t="s">
        <v>596</v>
      </c>
      <c r="B410" s="1">
        <v>54.53</v>
      </c>
      <c r="C410" s="1">
        <v>62.61</v>
      </c>
    </row>
    <row r="411" spans="1:8" x14ac:dyDescent="0.3">
      <c r="A411" s="1" t="s">
        <v>134</v>
      </c>
      <c r="B411" s="1">
        <f>B410*B410</f>
        <v>2973.5209</v>
      </c>
      <c r="C411" s="1">
        <f>C410*C410</f>
        <v>3920.0120999999999</v>
      </c>
    </row>
    <row r="414" spans="1:8" x14ac:dyDescent="0.3">
      <c r="B414" s="172" t="s">
        <v>605</v>
      </c>
      <c r="C414" s="1" t="s">
        <v>604</v>
      </c>
    </row>
    <row r="417" spans="1:8" ht="18.600000000000001" x14ac:dyDescent="0.3">
      <c r="A417" s="1" t="s">
        <v>606</v>
      </c>
      <c r="B417" s="1">
        <f>NORMSINV(0.025)</f>
        <v>-1.9599639845400538</v>
      </c>
    </row>
    <row r="419" spans="1:8" ht="27.6" x14ac:dyDescent="0.3">
      <c r="A419" s="1" t="s">
        <v>574</v>
      </c>
      <c r="B419" s="167">
        <f>$D$409+$B$417*SQRT($B$411/$B$408+$C$411/$C$408)</f>
        <v>-5.564405182377854</v>
      </c>
      <c r="C419" s="167" t="s">
        <v>604</v>
      </c>
      <c r="D419" s="167">
        <f>$D$409-$B$417*SQRT($B$411/$B$408+$C$411/$C$408)</f>
        <v>40.584405182377836</v>
      </c>
    </row>
    <row r="420" spans="1:8" ht="14.4" thickBot="1" x14ac:dyDescent="0.35"/>
    <row r="421" spans="1:8" ht="16.2" thickBot="1" x14ac:dyDescent="0.35">
      <c r="A421" s="304" t="s">
        <v>314</v>
      </c>
      <c r="B421" s="305"/>
      <c r="C421" s="305"/>
      <c r="D421" s="305"/>
      <c r="E421" s="305"/>
      <c r="F421" s="305"/>
      <c r="G421" s="305"/>
      <c r="H421" s="306"/>
    </row>
    <row r="422" spans="1:8" x14ac:dyDescent="0.3">
      <c r="B422" s="1" t="s">
        <v>607</v>
      </c>
      <c r="C422" s="1" t="s">
        <v>541</v>
      </c>
    </row>
    <row r="423" spans="1:8" x14ac:dyDescent="0.3">
      <c r="A423" s="1" t="s">
        <v>569</v>
      </c>
      <c r="B423" s="1">
        <v>172</v>
      </c>
      <c r="C423" s="1">
        <v>186</v>
      </c>
    </row>
    <row r="424" spans="1:8" x14ac:dyDescent="0.3">
      <c r="A424" s="1" t="s">
        <v>3</v>
      </c>
      <c r="B424" s="1">
        <v>3.4830000000000001</v>
      </c>
      <c r="C424" s="1">
        <v>3.4350000000000001</v>
      </c>
      <c r="D424" s="1">
        <f>B424-C424</f>
        <v>4.8000000000000043E-2</v>
      </c>
    </row>
    <row r="425" spans="1:8" x14ac:dyDescent="0.3">
      <c r="A425" s="1" t="s">
        <v>596</v>
      </c>
      <c r="B425" s="1">
        <v>0.97</v>
      </c>
      <c r="C425" s="1">
        <v>0.89400000000000002</v>
      </c>
    </row>
    <row r="426" spans="1:8" x14ac:dyDescent="0.3">
      <c r="A426" s="1" t="s">
        <v>134</v>
      </c>
      <c r="B426" s="1">
        <f>B425*B425</f>
        <v>0.94089999999999996</v>
      </c>
      <c r="C426" s="1">
        <f>C425*C425</f>
        <v>0.79923600000000006</v>
      </c>
    </row>
    <row r="429" spans="1:8" x14ac:dyDescent="0.3">
      <c r="B429" s="172" t="s">
        <v>605</v>
      </c>
      <c r="C429" s="1" t="s">
        <v>604</v>
      </c>
    </row>
    <row r="432" spans="1:8" ht="18.600000000000001" x14ac:dyDescent="0.3">
      <c r="A432" s="1" t="s">
        <v>606</v>
      </c>
      <c r="B432" s="1">
        <f>NORMSINV(0.025)</f>
        <v>-1.9599639845400538</v>
      </c>
    </row>
    <row r="434" spans="1:8" ht="27.6" x14ac:dyDescent="0.3">
      <c r="A434" s="1" t="s">
        <v>574</v>
      </c>
      <c r="B434" s="167">
        <f>D424+B432*SQRT(B426/B423+C426/C423)</f>
        <v>-0.14570272178642116</v>
      </c>
      <c r="C434" s="167" t="s">
        <v>604</v>
      </c>
      <c r="D434" s="167">
        <f>D424-B432*SQRT(B426/B423+C426/C423)</f>
        <v>0.24170272178642124</v>
      </c>
    </row>
    <row r="435" spans="1:8" ht="14.4" thickBot="1" x14ac:dyDescent="0.35"/>
    <row r="436" spans="1:8" ht="16.2" thickBot="1" x14ac:dyDescent="0.35">
      <c r="A436" s="304" t="s">
        <v>163</v>
      </c>
      <c r="B436" s="305"/>
      <c r="C436" s="305"/>
      <c r="D436" s="305"/>
      <c r="E436" s="305"/>
      <c r="F436" s="305"/>
      <c r="G436" s="305"/>
      <c r="H436" s="306"/>
    </row>
    <row r="437" spans="1:8" x14ac:dyDescent="0.3">
      <c r="B437" s="1" t="s">
        <v>491</v>
      </c>
      <c r="C437" s="1" t="s">
        <v>608</v>
      </c>
    </row>
    <row r="438" spans="1:8" x14ac:dyDescent="0.3">
      <c r="A438" s="1" t="s">
        <v>569</v>
      </c>
      <c r="B438" s="1">
        <v>138</v>
      </c>
      <c r="C438" s="1">
        <v>266</v>
      </c>
    </row>
    <row r="439" spans="1:8" x14ac:dyDescent="0.3">
      <c r="A439" s="1" t="s">
        <v>3</v>
      </c>
      <c r="B439" s="1">
        <v>36558</v>
      </c>
      <c r="C439" s="1">
        <v>37499</v>
      </c>
      <c r="D439" s="1">
        <f>B439-C439</f>
        <v>-941</v>
      </c>
    </row>
    <row r="440" spans="1:8" x14ac:dyDescent="0.3">
      <c r="A440" s="1" t="s">
        <v>596</v>
      </c>
      <c r="B440" s="1">
        <v>11624</v>
      </c>
      <c r="C440" s="1">
        <v>16521</v>
      </c>
    </row>
    <row r="441" spans="1:8" x14ac:dyDescent="0.3">
      <c r="A441" s="1" t="s">
        <v>134</v>
      </c>
      <c r="B441" s="1">
        <f>B440*B440</f>
        <v>135117376</v>
      </c>
      <c r="C441" s="1">
        <f>C440*C440</f>
        <v>272943441</v>
      </c>
    </row>
    <row r="444" spans="1:8" x14ac:dyDescent="0.3">
      <c r="B444" s="172" t="s">
        <v>605</v>
      </c>
      <c r="C444" s="1" t="s">
        <v>604</v>
      </c>
    </row>
    <row r="447" spans="1:8" ht="18.600000000000001" x14ac:dyDescent="0.3">
      <c r="A447" s="1" t="s">
        <v>606</v>
      </c>
      <c r="B447" s="1">
        <f>NORMSINV(0.05)</f>
        <v>-1.6448536269514726</v>
      </c>
    </row>
    <row r="449" spans="1:8" ht="27.6" x14ac:dyDescent="0.3">
      <c r="A449" s="1" t="s">
        <v>574</v>
      </c>
      <c r="B449" s="167">
        <f>D439+B447*SQRT(B441/B438+C441/C438)</f>
        <v>-3270.204839904648</v>
      </c>
      <c r="C449" s="167" t="s">
        <v>604</v>
      </c>
      <c r="D449" s="167">
        <f>D439-B447*SQRT(B441/B438+C441/C438)</f>
        <v>1388.204839904648</v>
      </c>
      <c r="E449" s="307" t="s">
        <v>601</v>
      </c>
      <c r="F449" s="307"/>
      <c r="G449" s="307"/>
    </row>
    <row r="450" spans="1:8" ht="14.4" thickBot="1" x14ac:dyDescent="0.35"/>
    <row r="451" spans="1:8" ht="16.2" thickBot="1" x14ac:dyDescent="0.35">
      <c r="A451" s="304" t="s">
        <v>322</v>
      </c>
      <c r="B451" s="305"/>
      <c r="C451" s="305"/>
      <c r="D451" s="305"/>
      <c r="E451" s="305"/>
      <c r="F451" s="305"/>
      <c r="G451" s="305"/>
      <c r="H451" s="306"/>
    </row>
    <row r="452" spans="1:8" ht="27.6" x14ac:dyDescent="0.3">
      <c r="B452" s="1" t="s">
        <v>609</v>
      </c>
      <c r="C452" s="1" t="s">
        <v>610</v>
      </c>
    </row>
    <row r="453" spans="1:8" x14ac:dyDescent="0.3">
      <c r="A453" s="1" t="s">
        <v>569</v>
      </c>
      <c r="B453" s="1">
        <v>190</v>
      </c>
      <c r="C453" s="1">
        <v>417</v>
      </c>
    </row>
    <row r="454" spans="1:8" x14ac:dyDescent="0.3">
      <c r="A454" s="1" t="s">
        <v>3</v>
      </c>
      <c r="B454" s="1">
        <v>0.51700000000000002</v>
      </c>
      <c r="C454" s="1">
        <v>0.48899999999999999</v>
      </c>
      <c r="D454" s="1">
        <f>B454-C454</f>
        <v>2.8000000000000025E-2</v>
      </c>
    </row>
    <row r="455" spans="1:8" x14ac:dyDescent="0.3">
      <c r="A455" s="1" t="s">
        <v>596</v>
      </c>
      <c r="B455" s="1">
        <v>0.14799999999999999</v>
      </c>
      <c r="C455" s="1">
        <v>0.159</v>
      </c>
    </row>
    <row r="456" spans="1:8" x14ac:dyDescent="0.3">
      <c r="A456" s="1" t="s">
        <v>134</v>
      </c>
      <c r="B456" s="1">
        <f>B455*B455</f>
        <v>2.1903999999999996E-2</v>
      </c>
      <c r="C456" s="1">
        <f>C455*C455</f>
        <v>2.5281000000000001E-2</v>
      </c>
    </row>
    <row r="459" spans="1:8" x14ac:dyDescent="0.3">
      <c r="B459" s="172" t="s">
        <v>605</v>
      </c>
      <c r="C459" s="1" t="s">
        <v>604</v>
      </c>
    </row>
    <row r="462" spans="1:8" ht="18.600000000000001" x14ac:dyDescent="0.3">
      <c r="A462" s="1" t="s">
        <v>606</v>
      </c>
      <c r="B462" s="1">
        <f>NORMSINV(0.005)</f>
        <v>-2.5758293035488999</v>
      </c>
    </row>
    <row r="464" spans="1:8" ht="30" customHeight="1" x14ac:dyDescent="0.3">
      <c r="A464" s="1" t="s">
        <v>574</v>
      </c>
      <c r="B464" s="167">
        <f>D454+B462*SQRT(B456/B453+C456/C453)</f>
        <v>-6.1635096212758755E-3</v>
      </c>
      <c r="C464" s="167" t="s">
        <v>604</v>
      </c>
      <c r="D464" s="167">
        <f>D454-B462*SQRT(B456/B453+C456/C453)</f>
        <v>6.2163509621275925E-2</v>
      </c>
      <c r="E464" s="307" t="s">
        <v>601</v>
      </c>
      <c r="F464" s="307"/>
      <c r="G464" s="307"/>
    </row>
    <row r="465" spans="1:8" ht="14.4" thickBot="1" x14ac:dyDescent="0.35"/>
    <row r="466" spans="1:8" ht="16.2" thickBot="1" x14ac:dyDescent="0.35">
      <c r="A466" s="304" t="s">
        <v>330</v>
      </c>
      <c r="B466" s="305"/>
      <c r="C466" s="305"/>
      <c r="D466" s="305"/>
      <c r="E466" s="305"/>
      <c r="F466" s="305"/>
      <c r="G466" s="305"/>
      <c r="H466" s="306"/>
    </row>
    <row r="467" spans="1:8" ht="27.6" x14ac:dyDescent="0.3">
      <c r="B467" s="1" t="s">
        <v>611</v>
      </c>
      <c r="C467" s="1" t="s">
        <v>612</v>
      </c>
    </row>
    <row r="468" spans="1:8" x14ac:dyDescent="0.3">
      <c r="A468" s="1" t="s">
        <v>569</v>
      </c>
      <c r="B468" s="1">
        <v>9</v>
      </c>
      <c r="C468" s="1">
        <v>10</v>
      </c>
    </row>
    <row r="469" spans="1:8" x14ac:dyDescent="0.3">
      <c r="A469" s="1" t="s">
        <v>3</v>
      </c>
      <c r="B469" s="1">
        <v>9.7799999999999994</v>
      </c>
      <c r="C469" s="1">
        <v>15.1</v>
      </c>
      <c r="D469" s="1">
        <f>B469-C469</f>
        <v>-5.32</v>
      </c>
    </row>
    <row r="470" spans="1:8" ht="27.6" x14ac:dyDescent="0.3">
      <c r="A470" s="1" t="s">
        <v>4</v>
      </c>
      <c r="B470" s="1">
        <f>SQRT(B471)</f>
        <v>4.2</v>
      </c>
      <c r="C470" s="1">
        <f>SQRT(C471)</f>
        <v>5.1971145840745132</v>
      </c>
    </row>
    <row r="471" spans="1:8" x14ac:dyDescent="0.3">
      <c r="A471" s="1" t="s">
        <v>134</v>
      </c>
      <c r="B471" s="1">
        <v>17.64</v>
      </c>
      <c r="C471" s="1">
        <v>27.01</v>
      </c>
    </row>
    <row r="474" spans="1:8" ht="20.399999999999999" x14ac:dyDescent="0.45">
      <c r="B474" s="172" t="s">
        <v>605</v>
      </c>
      <c r="D474" s="175" t="s">
        <v>619</v>
      </c>
      <c r="F474" s="172" t="s">
        <v>593</v>
      </c>
    </row>
    <row r="476" spans="1:8" x14ac:dyDescent="0.3">
      <c r="B476" s="1" t="s">
        <v>316</v>
      </c>
      <c r="C476" s="1">
        <f>TINV(0.05,(B468+C468-2))</f>
        <v>2.109815577833317</v>
      </c>
    </row>
    <row r="478" spans="1:8" ht="14.4" x14ac:dyDescent="0.3">
      <c r="A478" s="4"/>
      <c r="B478"/>
      <c r="C478" s="1" t="s">
        <v>316</v>
      </c>
      <c r="D478" s="1">
        <f>((B468-1)*B471+(C468-1)*C471)/(B468+C468-2)</f>
        <v>22.600588235294119</v>
      </c>
    </row>
    <row r="481" spans="1:8" x14ac:dyDescent="0.3">
      <c r="A481" s="4" t="s">
        <v>618</v>
      </c>
      <c r="B481" s="1" t="s">
        <v>316</v>
      </c>
      <c r="C481" s="1">
        <f>SQRT(D478)</f>
        <v>4.7540075973113591</v>
      </c>
    </row>
    <row r="483" spans="1:8" ht="30" customHeight="1" x14ac:dyDescent="0.3">
      <c r="A483" s="1" t="s">
        <v>574</v>
      </c>
      <c r="B483" s="168">
        <f>D469-C476*C481*SQRT((B468+C468)/(B468*C468))</f>
        <v>-9.9285033954934097</v>
      </c>
      <c r="C483" s="168" t="s">
        <v>604</v>
      </c>
      <c r="D483" s="168">
        <f>D469+C476*C481*SQRT((B468+C468)/(B468*C468))</f>
        <v>-0.71149660450659091</v>
      </c>
    </row>
    <row r="484" spans="1:8" ht="14.4" thickBot="1" x14ac:dyDescent="0.35"/>
    <row r="485" spans="1:8" ht="16.2" thickBot="1" x14ac:dyDescent="0.35">
      <c r="A485" s="304" t="s">
        <v>331</v>
      </c>
      <c r="B485" s="305"/>
      <c r="C485" s="305"/>
      <c r="D485" s="305"/>
      <c r="E485" s="305"/>
      <c r="F485" s="305"/>
      <c r="G485" s="305"/>
      <c r="H485" s="306"/>
    </row>
    <row r="486" spans="1:8" ht="27.6" x14ac:dyDescent="0.3">
      <c r="B486" s="1" t="s">
        <v>613</v>
      </c>
      <c r="C486" s="1" t="s">
        <v>614</v>
      </c>
    </row>
    <row r="487" spans="1:8" x14ac:dyDescent="0.3">
      <c r="A487" s="1" t="s">
        <v>569</v>
      </c>
      <c r="B487" s="1">
        <v>12</v>
      </c>
      <c r="C487" s="1">
        <v>15</v>
      </c>
    </row>
    <row r="488" spans="1:8" x14ac:dyDescent="0.3">
      <c r="A488" s="1" t="s">
        <v>3</v>
      </c>
      <c r="B488" s="1">
        <v>435000</v>
      </c>
      <c r="C488" s="1">
        <v>408000</v>
      </c>
      <c r="D488" s="1">
        <f>B488-C488</f>
        <v>27000</v>
      </c>
    </row>
    <row r="489" spans="1:8" x14ac:dyDescent="0.3">
      <c r="A489" s="1" t="s">
        <v>596</v>
      </c>
      <c r="B489" s="1">
        <v>56000</v>
      </c>
      <c r="C489" s="1">
        <v>43000</v>
      </c>
    </row>
    <row r="490" spans="1:8" x14ac:dyDescent="0.3">
      <c r="A490" s="1" t="s">
        <v>134</v>
      </c>
      <c r="B490" s="1">
        <f>B489*B489</f>
        <v>3136000000</v>
      </c>
      <c r="C490" s="1">
        <f>C489*C489</f>
        <v>1849000000</v>
      </c>
    </row>
    <row r="493" spans="1:8" ht="20.399999999999999" x14ac:dyDescent="0.45">
      <c r="B493" s="172" t="s">
        <v>605</v>
      </c>
      <c r="D493" s="175" t="s">
        <v>617</v>
      </c>
      <c r="F493" s="172" t="s">
        <v>593</v>
      </c>
    </row>
    <row r="495" spans="1:8" x14ac:dyDescent="0.3">
      <c r="B495" s="1" t="s">
        <v>316</v>
      </c>
      <c r="C495" s="1">
        <f>TINV(0.025,(B487+C487-2))</f>
        <v>2.3846102008046892</v>
      </c>
    </row>
    <row r="497" spans="1:8" ht="14.4" x14ac:dyDescent="0.3">
      <c r="A497" s="4"/>
      <c r="B497"/>
      <c r="D497" s="1" t="s">
        <v>316</v>
      </c>
      <c r="E497" s="1">
        <f>((B487-1)*B490+(C487-1)*C490)/(B487+C487-2)</f>
        <v>2415280000</v>
      </c>
    </row>
    <row r="500" spans="1:8" x14ac:dyDescent="0.3">
      <c r="A500" s="4" t="s">
        <v>618</v>
      </c>
      <c r="B500" s="1">
        <f>SQRT(E497)</f>
        <v>49145.498267898351</v>
      </c>
    </row>
    <row r="502" spans="1:8" ht="30" customHeight="1" x14ac:dyDescent="0.3">
      <c r="A502" s="1" t="s">
        <v>574</v>
      </c>
      <c r="B502" s="167">
        <f>D488-C495*B500*SQRT((B487+C487)/(B487*C487))</f>
        <v>-18388.598149287012</v>
      </c>
      <c r="C502" s="167" t="s">
        <v>604</v>
      </c>
      <c r="D502" s="167">
        <f>D488+C495*B500*SQRT((B487+C487)/(B487*C487))</f>
        <v>72388.59814928702</v>
      </c>
    </row>
    <row r="503" spans="1:8" ht="14.4" thickBot="1" x14ac:dyDescent="0.35"/>
    <row r="504" spans="1:8" ht="16.2" thickBot="1" x14ac:dyDescent="0.35">
      <c r="A504" s="304" t="s">
        <v>333</v>
      </c>
      <c r="B504" s="314"/>
      <c r="C504" s="314"/>
      <c r="D504" s="314"/>
      <c r="E504" s="314"/>
      <c r="F504" s="314"/>
      <c r="G504" s="314"/>
      <c r="H504" s="315"/>
    </row>
    <row r="505" spans="1:8" x14ac:dyDescent="0.3">
      <c r="B505" s="1" t="s">
        <v>615</v>
      </c>
      <c r="C505" s="1" t="s">
        <v>616</v>
      </c>
    </row>
    <row r="506" spans="1:8" x14ac:dyDescent="0.3">
      <c r="A506" s="1" t="s">
        <v>569</v>
      </c>
      <c r="B506" s="1">
        <v>21</v>
      </c>
      <c r="C506" s="1">
        <v>18</v>
      </c>
    </row>
    <row r="507" spans="1:8" x14ac:dyDescent="0.3">
      <c r="A507" s="1" t="s">
        <v>3</v>
      </c>
      <c r="B507" s="1">
        <v>72.099999999999994</v>
      </c>
      <c r="C507" s="1">
        <v>73.8</v>
      </c>
      <c r="D507" s="1">
        <f>B507-C507</f>
        <v>-1.7000000000000028</v>
      </c>
    </row>
    <row r="508" spans="1:8" x14ac:dyDescent="0.3">
      <c r="A508" s="1" t="s">
        <v>596</v>
      </c>
      <c r="B508" s="1">
        <v>11.3</v>
      </c>
      <c r="C508" s="1">
        <v>10.6</v>
      </c>
    </row>
    <row r="509" spans="1:8" x14ac:dyDescent="0.3">
      <c r="A509" s="1" t="s">
        <v>134</v>
      </c>
      <c r="B509" s="1">
        <f>B508*B508</f>
        <v>127.69000000000001</v>
      </c>
      <c r="C509" s="1">
        <f>C508*C508</f>
        <v>112.36</v>
      </c>
    </row>
    <row r="512" spans="1:8" ht="20.399999999999999" x14ac:dyDescent="0.45">
      <c r="B512" s="172" t="s">
        <v>605</v>
      </c>
      <c r="D512" s="175" t="s">
        <v>617</v>
      </c>
      <c r="F512" s="172" t="s">
        <v>593</v>
      </c>
    </row>
    <row r="514" spans="1:8" x14ac:dyDescent="0.3">
      <c r="B514" s="1" t="s">
        <v>316</v>
      </c>
      <c r="C514" s="1">
        <v>1.3049999999999999</v>
      </c>
    </row>
    <row r="516" spans="1:8" ht="14.4" x14ac:dyDescent="0.3">
      <c r="A516" s="4"/>
      <c r="B516"/>
      <c r="D516" s="1" t="s">
        <v>316</v>
      </c>
      <c r="E516" s="1">
        <f>((B506-1)*B509+(C506-1)*C509)/(B506+C506-2)</f>
        <v>120.64648648648649</v>
      </c>
    </row>
    <row r="519" spans="1:8" x14ac:dyDescent="0.3">
      <c r="A519" s="4" t="s">
        <v>618</v>
      </c>
      <c r="B519" s="1">
        <f>SQRT(E516)</f>
        <v>10.983919450109168</v>
      </c>
    </row>
    <row r="521" spans="1:8" ht="30" customHeight="1" x14ac:dyDescent="0.3">
      <c r="A521" s="1" t="s">
        <v>574</v>
      </c>
      <c r="B521" s="167">
        <f>D507-C514*B519*SQRT((B506+C506)/(B506*C506))</f>
        <v>-6.3042007858528386</v>
      </c>
      <c r="C521" s="167" t="s">
        <v>604</v>
      </c>
      <c r="D521" s="167">
        <f>D507+C514*B519*SQRT((B506+C506)/(B506*C506))</f>
        <v>2.9042007858528329</v>
      </c>
    </row>
    <row r="522" spans="1:8" ht="14.4" thickBot="1" x14ac:dyDescent="0.35"/>
    <row r="523" spans="1:8" ht="16.2" thickBot="1" x14ac:dyDescent="0.35">
      <c r="A523" s="304" t="s">
        <v>340</v>
      </c>
      <c r="B523" s="305"/>
      <c r="C523" s="305"/>
      <c r="D523" s="305"/>
      <c r="E523" s="305"/>
      <c r="F523" s="305"/>
      <c r="G523" s="305"/>
      <c r="H523" s="306"/>
    </row>
    <row r="524" spans="1:8" x14ac:dyDescent="0.3">
      <c r="B524" s="1">
        <v>1</v>
      </c>
      <c r="C524" s="1">
        <v>2</v>
      </c>
    </row>
    <row r="525" spans="1:8" x14ac:dyDescent="0.3">
      <c r="A525" s="1" t="s">
        <v>241</v>
      </c>
      <c r="B525" s="1">
        <f>70/112</f>
        <v>0.625</v>
      </c>
      <c r="C525" s="1">
        <f>65/135</f>
        <v>0.48148148148148145</v>
      </c>
    </row>
    <row r="526" spans="1:8" x14ac:dyDescent="0.3">
      <c r="A526" s="1" t="s">
        <v>569</v>
      </c>
      <c r="B526" s="1">
        <v>112</v>
      </c>
      <c r="C526" s="1">
        <v>135</v>
      </c>
    </row>
    <row r="528" spans="1:8" ht="14.4" x14ac:dyDescent="0.3">
      <c r="A528"/>
    </row>
    <row r="535" spans="1:8" ht="18.600000000000001" x14ac:dyDescent="0.3">
      <c r="A535" s="1" t="s">
        <v>606</v>
      </c>
      <c r="B535" s="1" t="s">
        <v>316</v>
      </c>
      <c r="C535" s="1">
        <f>NORMSINV(0.025)</f>
        <v>-1.9599639845400538</v>
      </c>
    </row>
    <row r="537" spans="1:8" ht="27.6" x14ac:dyDescent="0.3">
      <c r="A537" s="1" t="s">
        <v>574</v>
      </c>
      <c r="B537" s="167">
        <f>(B525-C525)-C535*SQRT((B525*(1-B525))/B526+(C525*(1-C525)/C526))</f>
        <v>0.2665746901554723</v>
      </c>
      <c r="C537" s="167">
        <f>(B525-C525)+C535*SQRT((B525*(1-B525))/B526+(C525*(1-C525)/C526))</f>
        <v>2.0462346881564814E-2</v>
      </c>
    </row>
    <row r="538" spans="1:8" ht="14.4" thickBot="1" x14ac:dyDescent="0.35"/>
    <row r="539" spans="1:8" ht="16.2" thickBot="1" x14ac:dyDescent="0.35">
      <c r="A539" s="304" t="s">
        <v>341</v>
      </c>
      <c r="B539" s="305"/>
      <c r="C539" s="305"/>
      <c r="D539" s="305"/>
      <c r="E539" s="305"/>
      <c r="F539" s="305"/>
      <c r="G539" s="305"/>
      <c r="H539" s="306"/>
    </row>
    <row r="540" spans="1:8" x14ac:dyDescent="0.3">
      <c r="B540" s="1">
        <v>1</v>
      </c>
      <c r="C540" s="1">
        <v>2</v>
      </c>
    </row>
    <row r="541" spans="1:8" x14ac:dyDescent="0.3">
      <c r="A541" s="1" t="s">
        <v>241</v>
      </c>
      <c r="B541" s="1">
        <v>0.20200000000000001</v>
      </c>
      <c r="C541" s="1">
        <v>0.13200000000000001</v>
      </c>
    </row>
    <row r="542" spans="1:8" x14ac:dyDescent="0.3">
      <c r="A542" s="1" t="s">
        <v>569</v>
      </c>
      <c r="B542" s="1">
        <v>1203</v>
      </c>
      <c r="C542" s="1">
        <v>1203</v>
      </c>
    </row>
    <row r="544" spans="1:8" ht="14.4" x14ac:dyDescent="0.3">
      <c r="A544"/>
    </row>
    <row r="551" spans="1:8" ht="18.600000000000001" x14ac:dyDescent="0.3">
      <c r="A551" s="1" t="s">
        <v>606</v>
      </c>
      <c r="B551" s="1" t="s">
        <v>316</v>
      </c>
      <c r="C551" s="1">
        <f>NORMSINV(0.005)</f>
        <v>-2.5758293035488999</v>
      </c>
    </row>
    <row r="553" spans="1:8" ht="27.6" x14ac:dyDescent="0.3">
      <c r="A553" s="1" t="s">
        <v>574</v>
      </c>
      <c r="B553" s="167">
        <f>(B541-C541)-C551*SQRT((B541*(1-B541))/B542+(C541*(1-C541)/C542))</f>
        <v>0.10899952794497464</v>
      </c>
      <c r="C553" s="167">
        <f>(B541-C541)+C551*SQRT((B541*(1-B541))/B542+(C541*(1-C541)/C542))</f>
        <v>3.1000472055025374E-2</v>
      </c>
    </row>
    <row r="554" spans="1:8" ht="14.4" thickBot="1" x14ac:dyDescent="0.35"/>
    <row r="555" spans="1:8" ht="16.2" thickBot="1" x14ac:dyDescent="0.35">
      <c r="A555" s="304" t="s">
        <v>342</v>
      </c>
      <c r="B555" s="305"/>
      <c r="C555" s="305"/>
      <c r="D555" s="305"/>
      <c r="E555" s="305"/>
      <c r="F555" s="305"/>
      <c r="G555" s="305"/>
      <c r="H555" s="306"/>
    </row>
    <row r="556" spans="1:8" x14ac:dyDescent="0.3">
      <c r="B556" s="1">
        <v>1</v>
      </c>
      <c r="C556" s="1">
        <v>2</v>
      </c>
    </row>
    <row r="557" spans="1:8" x14ac:dyDescent="0.3">
      <c r="A557" s="1" t="s">
        <v>241</v>
      </c>
      <c r="B557" s="1">
        <v>0.59</v>
      </c>
      <c r="C557" s="1">
        <v>0.24199999999999999</v>
      </c>
    </row>
    <row r="558" spans="1:8" x14ac:dyDescent="0.3">
      <c r="A558" s="1" t="s">
        <v>569</v>
      </c>
      <c r="B558" s="1">
        <v>154</v>
      </c>
      <c r="C558" s="1">
        <v>310</v>
      </c>
    </row>
    <row r="560" spans="1:8" ht="14.4" x14ac:dyDescent="0.3">
      <c r="A560"/>
    </row>
    <row r="567" spans="1:8" ht="18.600000000000001" x14ac:dyDescent="0.3">
      <c r="A567" s="1" t="s">
        <v>606</v>
      </c>
      <c r="B567" s="1" t="s">
        <v>316</v>
      </c>
      <c r="C567" s="1">
        <f>NORMSINV(0.025)</f>
        <v>-1.9599639845400538</v>
      </c>
    </row>
    <row r="569" spans="1:8" ht="27.6" x14ac:dyDescent="0.3">
      <c r="A569" s="1" t="s">
        <v>574</v>
      </c>
      <c r="B569" s="167">
        <f>(B557-C557)-C567*SQRT((B557*(1-B557))/B558+(C557*(1-C557)/C558))</f>
        <v>0.43914376777078024</v>
      </c>
      <c r="C569" s="167">
        <f>(B557-C557)+C567*SQRT((B557*(1-B557))/B558+(C557*(1-C557)/C558))</f>
        <v>0.25685623222921972</v>
      </c>
    </row>
    <row r="570" spans="1:8" ht="14.4" thickBot="1" x14ac:dyDescent="0.35"/>
    <row r="571" spans="1:8" ht="16.2" thickBot="1" x14ac:dyDescent="0.35">
      <c r="A571" s="304" t="s">
        <v>343</v>
      </c>
      <c r="B571" s="305"/>
      <c r="C571" s="305"/>
      <c r="D571" s="305"/>
      <c r="E571" s="305"/>
      <c r="F571" s="305"/>
      <c r="G571" s="305"/>
      <c r="H571" s="306"/>
    </row>
    <row r="572" spans="1:8" x14ac:dyDescent="0.3">
      <c r="B572" s="1" t="s">
        <v>541</v>
      </c>
      <c r="C572" s="1" t="s">
        <v>607</v>
      </c>
    </row>
    <row r="573" spans="1:8" x14ac:dyDescent="0.3">
      <c r="A573" s="1" t="s">
        <v>241</v>
      </c>
      <c r="B573" s="1">
        <v>0.61</v>
      </c>
      <c r="C573" s="1">
        <v>0.54</v>
      </c>
      <c r="D573" s="1">
        <f>B573-C573</f>
        <v>6.9999999999999951E-2</v>
      </c>
    </row>
    <row r="574" spans="1:8" x14ac:dyDescent="0.3">
      <c r="A574" s="1" t="s">
        <v>569</v>
      </c>
      <c r="B574" s="1">
        <v>100</v>
      </c>
      <c r="C574" s="1">
        <v>100</v>
      </c>
    </row>
    <row r="576" spans="1:8" ht="14.4" x14ac:dyDescent="0.3">
      <c r="A576"/>
    </row>
    <row r="583" spans="1:8" ht="15" x14ac:dyDescent="0.3">
      <c r="A583" s="176"/>
      <c r="C583" s="1" t="s">
        <v>316</v>
      </c>
      <c r="D583" s="1">
        <f>SQRT((B573*(1-B573))/B574+(C573*(1-C573))/C574)</f>
        <v>6.9735213486444569E-2</v>
      </c>
    </row>
    <row r="586" spans="1:8" ht="18.600000000000001" x14ac:dyDescent="0.3">
      <c r="A586" s="1" t="s">
        <v>606</v>
      </c>
      <c r="B586" s="1" t="s">
        <v>316</v>
      </c>
      <c r="C586" s="1">
        <f>(0.07-0.04)/D583</f>
        <v>0.43019872601137926</v>
      </c>
      <c r="D586" s="1">
        <f>(0.1-0.07)/D583</f>
        <v>0.43019872601137915</v>
      </c>
    </row>
    <row r="587" spans="1:8" x14ac:dyDescent="0.3">
      <c r="A587" s="1" t="s">
        <v>36</v>
      </c>
      <c r="B587" s="1" t="s">
        <v>316</v>
      </c>
      <c r="C587" s="1">
        <v>0.04</v>
      </c>
      <c r="D587" s="1">
        <v>0.1</v>
      </c>
    </row>
    <row r="588" spans="1:8" x14ac:dyDescent="0.3">
      <c r="A588" s="170" t="s">
        <v>579</v>
      </c>
      <c r="B588" s="1" t="s">
        <v>316</v>
      </c>
      <c r="C588" s="1">
        <f>NORMSDIST(C586)</f>
        <v>0.66647445566902697</v>
      </c>
      <c r="D588" s="1">
        <f>NORMSDIST(D586)</f>
        <v>0.66647445566902697</v>
      </c>
    </row>
    <row r="590" spans="1:8" ht="27.6" x14ac:dyDescent="0.3">
      <c r="A590" s="1" t="s">
        <v>574</v>
      </c>
      <c r="B590" s="1" t="s">
        <v>316</v>
      </c>
      <c r="C590" s="167">
        <f>1-C588</f>
        <v>0.33352554433097303</v>
      </c>
    </row>
    <row r="591" spans="1:8" ht="14.4" thickBot="1" x14ac:dyDescent="0.35"/>
    <row r="592" spans="1:8" ht="16.2" thickBot="1" x14ac:dyDescent="0.35">
      <c r="A592" s="304" t="s">
        <v>344</v>
      </c>
      <c r="B592" s="305"/>
      <c r="C592" s="305"/>
      <c r="D592" s="305"/>
      <c r="E592" s="305"/>
      <c r="F592" s="305"/>
      <c r="G592" s="305"/>
      <c r="H592" s="306"/>
    </row>
    <row r="593" spans="1:8" x14ac:dyDescent="0.3">
      <c r="B593" s="1">
        <v>1</v>
      </c>
      <c r="C593" s="1">
        <v>2</v>
      </c>
    </row>
    <row r="594" spans="1:8" x14ac:dyDescent="0.3">
      <c r="A594" s="1" t="s">
        <v>241</v>
      </c>
      <c r="B594" s="1">
        <f>308/570</f>
        <v>0.54035087719298247</v>
      </c>
      <c r="C594" s="1">
        <f>157/232</f>
        <v>0.67672413793103448</v>
      </c>
    </row>
    <row r="595" spans="1:8" x14ac:dyDescent="0.3">
      <c r="A595" s="1" t="s">
        <v>569</v>
      </c>
      <c r="B595" s="1">
        <v>570</v>
      </c>
      <c r="C595" s="1">
        <v>232</v>
      </c>
    </row>
    <row r="597" spans="1:8" ht="14.4" x14ac:dyDescent="0.3">
      <c r="A597"/>
    </row>
    <row r="604" spans="1:8" ht="18.600000000000001" x14ac:dyDescent="0.3">
      <c r="A604" s="1" t="s">
        <v>606</v>
      </c>
      <c r="B604" s="1" t="s">
        <v>316</v>
      </c>
      <c r="C604" s="1">
        <f>NORMSINV(0.05)</f>
        <v>-1.6448536269514726</v>
      </c>
    </row>
    <row r="606" spans="1:8" ht="27.6" x14ac:dyDescent="0.3">
      <c r="A606" s="1" t="s">
        <v>574</v>
      </c>
      <c r="B606" s="167">
        <f>(B594-C594)-C604*SQRT((B594*(1-B594))/B595+(C594*(1-C594)/C595))</f>
        <v>-7.5298270175722548E-2</v>
      </c>
      <c r="C606" s="167">
        <f>(B594-C594)+C604*SQRT((B594*(1-B594))/B595+(C594*(1-C594)/C595))</f>
        <v>-0.19744825130038146</v>
      </c>
    </row>
    <row r="607" spans="1:8" ht="14.4" thickBot="1" x14ac:dyDescent="0.35"/>
    <row r="608" spans="1:8" ht="16.2" thickBot="1" x14ac:dyDescent="0.35">
      <c r="A608" s="304" t="s">
        <v>352</v>
      </c>
      <c r="B608" s="305"/>
      <c r="C608" s="305"/>
      <c r="D608" s="305"/>
      <c r="E608" s="305"/>
      <c r="F608" s="305"/>
      <c r="G608" s="305"/>
      <c r="H608" s="306"/>
    </row>
    <row r="609" spans="1:8" x14ac:dyDescent="0.3">
      <c r="A609" s="1" t="s">
        <v>571</v>
      </c>
      <c r="B609" s="1">
        <v>0.45</v>
      </c>
    </row>
    <row r="610" spans="1:8" x14ac:dyDescent="0.3">
      <c r="A610" s="1" t="s">
        <v>569</v>
      </c>
      <c r="B610" s="1">
        <v>25</v>
      </c>
    </row>
    <row r="611" spans="1:8" ht="18" x14ac:dyDescent="0.35">
      <c r="A611" s="1" t="s">
        <v>570</v>
      </c>
      <c r="B611" s="1">
        <v>2.9</v>
      </c>
      <c r="E611" s="175" t="s">
        <v>620</v>
      </c>
    </row>
    <row r="613" spans="1:8" ht="18.600000000000001" x14ac:dyDescent="0.3">
      <c r="A613" s="1" t="s">
        <v>606</v>
      </c>
      <c r="B613" s="1">
        <f>NORMSINV(0.025)</f>
        <v>-1.9599639845400538</v>
      </c>
    </row>
    <row r="615" spans="1:8" x14ac:dyDescent="0.3">
      <c r="A615" s="1" t="s">
        <v>569</v>
      </c>
      <c r="B615" s="1">
        <f>B613^2*B609*B609/0.05^2</f>
        <v>311.15816447622404</v>
      </c>
    </row>
    <row r="616" spans="1:8" x14ac:dyDescent="0.3">
      <c r="B616" s="177">
        <v>312</v>
      </c>
    </row>
    <row r="617" spans="1:8" ht="14.4" thickBot="1" x14ac:dyDescent="0.35"/>
    <row r="618" spans="1:8" ht="16.2" thickBot="1" x14ac:dyDescent="0.35">
      <c r="A618" s="304" t="s">
        <v>356</v>
      </c>
      <c r="B618" s="305"/>
      <c r="C618" s="305"/>
      <c r="D618" s="305"/>
      <c r="E618" s="305"/>
      <c r="F618" s="305"/>
      <c r="G618" s="305"/>
      <c r="H618" s="306"/>
    </row>
    <row r="619" spans="1:8" x14ac:dyDescent="0.3">
      <c r="A619" s="1" t="s">
        <v>571</v>
      </c>
      <c r="B619" s="1">
        <v>0.12</v>
      </c>
    </row>
    <row r="620" spans="1:8" x14ac:dyDescent="0.3">
      <c r="A620" s="1" t="s">
        <v>569</v>
      </c>
      <c r="B620" s="1">
        <v>16</v>
      </c>
    </row>
    <row r="621" spans="1:8" x14ac:dyDescent="0.3">
      <c r="A621" s="1" t="s">
        <v>575</v>
      </c>
      <c r="B621" s="1">
        <v>4.07</v>
      </c>
    </row>
    <row r="622" spans="1:8" ht="18" x14ac:dyDescent="0.35">
      <c r="E622" s="175" t="s">
        <v>620</v>
      </c>
    </row>
    <row r="623" spans="1:8" ht="18.600000000000001" x14ac:dyDescent="0.3">
      <c r="A623" s="1" t="s">
        <v>606</v>
      </c>
      <c r="B623" s="1">
        <f>NORMSINV(0.05)</f>
        <v>-1.6448536269514726</v>
      </c>
    </row>
    <row r="625" spans="1:8" x14ac:dyDescent="0.3">
      <c r="A625" s="1" t="s">
        <v>569</v>
      </c>
      <c r="B625" s="1">
        <f>B623^2*B619*B619/0.01^2</f>
        <v>389.59825738973962</v>
      </c>
    </row>
    <row r="626" spans="1:8" x14ac:dyDescent="0.3">
      <c r="B626" s="167">
        <v>390</v>
      </c>
    </row>
    <row r="627" spans="1:8" ht="14.4" thickBot="1" x14ac:dyDescent="0.35"/>
    <row r="628" spans="1:8" ht="16.2" thickBot="1" x14ac:dyDescent="0.35">
      <c r="A628" s="304" t="s">
        <v>357</v>
      </c>
      <c r="B628" s="305"/>
      <c r="C628" s="305"/>
      <c r="D628" s="305"/>
      <c r="E628" s="305"/>
      <c r="F628" s="305"/>
      <c r="G628" s="305"/>
      <c r="H628" s="306"/>
    </row>
    <row r="629" spans="1:8" x14ac:dyDescent="0.3">
      <c r="A629" s="1" t="s">
        <v>571</v>
      </c>
      <c r="B629" s="1">
        <v>2.7924004010886407</v>
      </c>
    </row>
    <row r="630" spans="1:8" x14ac:dyDescent="0.3">
      <c r="A630" s="1" t="s">
        <v>569</v>
      </c>
      <c r="B630" s="1">
        <v>9</v>
      </c>
    </row>
    <row r="631" spans="1:8" ht="18" x14ac:dyDescent="0.35">
      <c r="A631" s="1" t="s">
        <v>575</v>
      </c>
      <c r="B631" s="1">
        <v>16.766666666666666</v>
      </c>
      <c r="E631" s="175" t="s">
        <v>620</v>
      </c>
    </row>
    <row r="633" spans="1:8" ht="18.600000000000001" x14ac:dyDescent="0.3">
      <c r="A633" s="1" t="s">
        <v>606</v>
      </c>
      <c r="B633" s="1">
        <f>NORMSINV(0.005)</f>
        <v>-2.5758293035488999</v>
      </c>
    </row>
    <row r="635" spans="1:8" x14ac:dyDescent="0.3">
      <c r="A635" s="1" t="s">
        <v>569</v>
      </c>
      <c r="B635" s="1">
        <f>B633^2*B629*B629/0.5^2</f>
        <v>206.94242498585163</v>
      </c>
    </row>
    <row r="636" spans="1:8" x14ac:dyDescent="0.3">
      <c r="B636" s="167">
        <v>207</v>
      </c>
    </row>
    <row r="637" spans="1:8" ht="14.4" thickBot="1" x14ac:dyDescent="0.35"/>
    <row r="638" spans="1:8" ht="16.2" thickBot="1" x14ac:dyDescent="0.35">
      <c r="A638" s="304" t="s">
        <v>358</v>
      </c>
      <c r="B638" s="305"/>
      <c r="C638" s="305"/>
      <c r="D638" s="305"/>
      <c r="E638" s="305"/>
      <c r="F638" s="305"/>
      <c r="G638" s="305"/>
      <c r="H638" s="306"/>
    </row>
    <row r="639" spans="1:8" ht="18.600000000000001" x14ac:dyDescent="0.3">
      <c r="A639" s="1" t="s">
        <v>606</v>
      </c>
      <c r="B639" s="1">
        <f>NORMSINV(0.025)</f>
        <v>-1.9599639845400538</v>
      </c>
    </row>
    <row r="640" spans="1:8" ht="18" x14ac:dyDescent="0.35">
      <c r="B640" s="1">
        <f>0.25*B639*B639/0.04^2</f>
        <v>600.22794073345688</v>
      </c>
      <c r="F640" s="175" t="s">
        <v>620</v>
      </c>
    </row>
    <row r="641" spans="1:8" x14ac:dyDescent="0.3">
      <c r="B641" s="167">
        <v>601</v>
      </c>
    </row>
    <row r="642" spans="1:8" ht="14.4" thickBot="1" x14ac:dyDescent="0.35"/>
    <row r="643" spans="1:8" ht="16.2" thickBot="1" x14ac:dyDescent="0.35">
      <c r="A643" s="304" t="s">
        <v>359</v>
      </c>
      <c r="B643" s="305"/>
      <c r="C643" s="305"/>
      <c r="D643" s="305"/>
      <c r="E643" s="305"/>
      <c r="F643" s="305"/>
      <c r="G643" s="305"/>
      <c r="H643" s="306"/>
    </row>
    <row r="644" spans="1:8" ht="18.600000000000001" x14ac:dyDescent="0.3">
      <c r="A644" s="1" t="s">
        <v>606</v>
      </c>
      <c r="B644" s="1">
        <f>NORMSINV(0.005)</f>
        <v>-2.5758293035488999</v>
      </c>
    </row>
    <row r="645" spans="1:8" ht="18" x14ac:dyDescent="0.35">
      <c r="B645" s="1">
        <f>0.25*B644*B644/0.05^2</f>
        <v>663.48966010212098</v>
      </c>
      <c r="F645" s="175" t="s">
        <v>620</v>
      </c>
    </row>
    <row r="646" spans="1:8" x14ac:dyDescent="0.3">
      <c r="B646" s="167">
        <v>664</v>
      </c>
    </row>
    <row r="647" spans="1:8" ht="14.4" thickBot="1" x14ac:dyDescent="0.35"/>
    <row r="648" spans="1:8" ht="16.2" thickBot="1" x14ac:dyDescent="0.35">
      <c r="A648" s="304" t="s">
        <v>360</v>
      </c>
      <c r="B648" s="305"/>
      <c r="C648" s="305"/>
      <c r="D648" s="305"/>
      <c r="E648" s="305"/>
      <c r="F648" s="305"/>
      <c r="G648" s="305"/>
      <c r="H648" s="306"/>
    </row>
    <row r="649" spans="1:8" ht="18.600000000000001" x14ac:dyDescent="0.3">
      <c r="A649" s="1" t="s">
        <v>606</v>
      </c>
      <c r="B649" s="1">
        <f>NORMSINV(0.05)</f>
        <v>-1.6448536269514726</v>
      </c>
    </row>
    <row r="650" spans="1:8" ht="18" x14ac:dyDescent="0.35">
      <c r="B650" s="1">
        <f>0.25*B649*B649/0.05^2</f>
        <v>270.55434540954138</v>
      </c>
      <c r="F650" s="175" t="s">
        <v>620</v>
      </c>
    </row>
    <row r="651" spans="1:8" x14ac:dyDescent="0.3">
      <c r="B651" s="167">
        <v>271</v>
      </c>
    </row>
    <row r="652" spans="1:8" ht="14.4" thickBot="1" x14ac:dyDescent="0.35"/>
    <row r="653" spans="1:8" ht="16.2" thickBot="1" x14ac:dyDescent="0.35">
      <c r="A653" s="304" t="s">
        <v>362</v>
      </c>
      <c r="B653" s="305"/>
      <c r="C653" s="305"/>
      <c r="D653" s="305"/>
      <c r="E653" s="305"/>
      <c r="F653" s="305"/>
      <c r="G653" s="305"/>
      <c r="H653" s="306"/>
    </row>
    <row r="654" spans="1:8" ht="16.5" customHeight="1" x14ac:dyDescent="0.3">
      <c r="A654" s="169" t="s">
        <v>207</v>
      </c>
      <c r="B654" s="311" t="s">
        <v>621</v>
      </c>
      <c r="C654" s="311"/>
      <c r="D654" s="311"/>
      <c r="E654" s="311"/>
      <c r="F654" s="311"/>
      <c r="G654" s="311"/>
      <c r="H654" s="311"/>
    </row>
    <row r="655" spans="1:8" ht="14.4" thickBot="1" x14ac:dyDescent="0.35"/>
    <row r="656" spans="1:8" ht="16.2" thickBot="1" x14ac:dyDescent="0.35">
      <c r="A656" s="304" t="s">
        <v>363</v>
      </c>
      <c r="B656" s="305"/>
      <c r="C656" s="305"/>
      <c r="D656" s="305"/>
      <c r="E656" s="305"/>
      <c r="F656" s="305"/>
      <c r="G656" s="305"/>
      <c r="H656" s="306"/>
    </row>
    <row r="657" spans="1:8" x14ac:dyDescent="0.3">
      <c r="A657" s="1" t="s">
        <v>618</v>
      </c>
      <c r="B657" s="1">
        <v>0.2</v>
      </c>
      <c r="D657" s="317" t="s">
        <v>53</v>
      </c>
      <c r="E657" s="317"/>
      <c r="F657" s="317"/>
      <c r="G657" s="317"/>
      <c r="H657" s="317"/>
    </row>
    <row r="658" spans="1:8" x14ac:dyDescent="0.3">
      <c r="A658" s="1" t="s">
        <v>569</v>
      </c>
      <c r="B658" s="1">
        <v>25</v>
      </c>
      <c r="D658" s="1" t="s">
        <v>569</v>
      </c>
      <c r="E658" s="1">
        <v>25</v>
      </c>
    </row>
    <row r="659" spans="1:8" x14ac:dyDescent="0.3">
      <c r="D659" s="1" t="s">
        <v>36</v>
      </c>
      <c r="E659" s="1">
        <v>11.98</v>
      </c>
      <c r="F659" s="19">
        <v>12.12</v>
      </c>
    </row>
    <row r="660" spans="1:8" ht="27.6" x14ac:dyDescent="0.3">
      <c r="D660" s="1" t="s">
        <v>622</v>
      </c>
      <c r="E660" s="1" t="s">
        <v>413</v>
      </c>
    </row>
    <row r="662" spans="1:8" x14ac:dyDescent="0.3">
      <c r="F662" s="1" t="s">
        <v>623</v>
      </c>
    </row>
    <row r="663" spans="1:8" ht="18" x14ac:dyDescent="0.35">
      <c r="H663" s="175"/>
    </row>
    <row r="664" spans="1:8" x14ac:dyDescent="0.3">
      <c r="E664" s="1" t="s">
        <v>316</v>
      </c>
      <c r="F664" s="1">
        <f>E659</f>
        <v>11.98</v>
      </c>
      <c r="G664" s="1" t="s">
        <v>624</v>
      </c>
    </row>
    <row r="667" spans="1:8" x14ac:dyDescent="0.3">
      <c r="E667" s="1" t="s">
        <v>316</v>
      </c>
      <c r="F667" s="19">
        <f>F659</f>
        <v>12.12</v>
      </c>
      <c r="G667" s="1" t="s">
        <v>625</v>
      </c>
    </row>
    <row r="670" spans="1:8" x14ac:dyDescent="0.3">
      <c r="D670" s="1" t="s">
        <v>626</v>
      </c>
      <c r="E670" s="1">
        <f>24*0.2*0.2/11.98</f>
        <v>8.0133555926544253E-2</v>
      </c>
    </row>
    <row r="671" spans="1:8" x14ac:dyDescent="0.3">
      <c r="D671" s="1" t="s">
        <v>627</v>
      </c>
      <c r="E671" s="1">
        <f>24*0.2*0.2/12.12</f>
        <v>7.9207920792079223E-2</v>
      </c>
    </row>
    <row r="672" spans="1:8" ht="27.6" x14ac:dyDescent="0.3">
      <c r="G672" s="1" t="s">
        <v>622</v>
      </c>
    </row>
    <row r="673" spans="1:8" x14ac:dyDescent="0.3">
      <c r="E673" s="1">
        <f>E670</f>
        <v>8.0133555926544253E-2</v>
      </c>
      <c r="F673" s="1">
        <f>CHIINV(E673,24)</f>
        <v>34.261154103193434</v>
      </c>
      <c r="G673" s="167">
        <f>100-2*F673</f>
        <v>31.477691793613133</v>
      </c>
    </row>
    <row r="674" spans="1:8" x14ac:dyDescent="0.3">
      <c r="E674" s="1">
        <f>E671</f>
        <v>7.9207920792079223E-2</v>
      </c>
      <c r="F674" s="1">
        <f>CHIINV(E674,24)</f>
        <v>34.315979181830372</v>
      </c>
      <c r="G674" s="1">
        <f>100-2*F674</f>
        <v>31.368041636339257</v>
      </c>
    </row>
    <row r="676" spans="1:8" x14ac:dyDescent="0.3">
      <c r="A676" s="309" t="s">
        <v>54</v>
      </c>
      <c r="B676" s="231"/>
      <c r="C676" s="231"/>
      <c r="D676" s="231"/>
      <c r="E676" s="231"/>
      <c r="F676" s="231"/>
      <c r="G676" s="231"/>
    </row>
    <row r="679" spans="1:8" ht="18" x14ac:dyDescent="0.35">
      <c r="B679" s="175" t="s">
        <v>620</v>
      </c>
      <c r="D679" s="1" t="s">
        <v>316</v>
      </c>
      <c r="E679" s="1">
        <f>B682^2*0.2^2/0.07^2</f>
        <v>54.162421232826212</v>
      </c>
      <c r="F679" s="167">
        <v>55</v>
      </c>
    </row>
    <row r="682" spans="1:8" ht="18.600000000000001" x14ac:dyDescent="0.3">
      <c r="A682" s="1" t="s">
        <v>606</v>
      </c>
      <c r="B682" s="1">
        <f>NORMSINV(0.005)</f>
        <v>-2.5758293035488999</v>
      </c>
    </row>
    <row r="683" spans="1:8" ht="14.4" thickBot="1" x14ac:dyDescent="0.35"/>
    <row r="684" spans="1:8" ht="16.2" thickBot="1" x14ac:dyDescent="0.35">
      <c r="A684" s="304" t="s">
        <v>365</v>
      </c>
      <c r="B684" s="305"/>
      <c r="C684" s="305"/>
      <c r="D684" s="305"/>
      <c r="E684" s="305"/>
      <c r="F684" s="305"/>
      <c r="G684" s="305"/>
      <c r="H684" s="306"/>
    </row>
    <row r="685" spans="1:8" x14ac:dyDescent="0.3">
      <c r="A685" s="1" t="s">
        <v>618</v>
      </c>
      <c r="B685" s="1">
        <v>1.8</v>
      </c>
      <c r="D685" s="310" t="s">
        <v>53</v>
      </c>
      <c r="E685" s="310"/>
      <c r="F685" s="310"/>
      <c r="G685" s="310" t="s">
        <v>54</v>
      </c>
      <c r="H685" s="310"/>
    </row>
    <row r="686" spans="1:8" x14ac:dyDescent="0.3">
      <c r="A686" s="1" t="s">
        <v>628</v>
      </c>
      <c r="B686" s="1">
        <v>3.38</v>
      </c>
      <c r="G686" s="307" t="s">
        <v>577</v>
      </c>
      <c r="H686" s="307"/>
    </row>
    <row r="687" spans="1:8" x14ac:dyDescent="0.3">
      <c r="A687" s="1" t="s">
        <v>569</v>
      </c>
      <c r="B687" s="1">
        <v>595</v>
      </c>
      <c r="E687" s="1" t="s">
        <v>316</v>
      </c>
      <c r="F687" s="1">
        <f>B689*B685/SQRT(B687)</f>
        <v>-0.12137836385541308</v>
      </c>
    </row>
    <row r="689" spans="1:8" ht="18.600000000000001" x14ac:dyDescent="0.3">
      <c r="A689" s="1" t="s">
        <v>606</v>
      </c>
      <c r="B689" s="1">
        <f>NORMSINV(0.05)</f>
        <v>-1.6448536269514726</v>
      </c>
    </row>
    <row r="690" spans="1:8" ht="27.6" x14ac:dyDescent="0.3">
      <c r="D690" s="1" t="s">
        <v>574</v>
      </c>
      <c r="E690" s="167">
        <f>B686-F687</f>
        <v>3.5013783638554128</v>
      </c>
      <c r="F690" s="167">
        <f>B686+F687</f>
        <v>3.258621636144587</v>
      </c>
    </row>
    <row r="692" spans="1:8" ht="14.4" x14ac:dyDescent="0.3">
      <c r="A692"/>
    </row>
    <row r="695" spans="1:8" ht="14.4" thickBot="1" x14ac:dyDescent="0.35"/>
    <row r="696" spans="1:8" ht="16.2" thickBot="1" x14ac:dyDescent="0.35">
      <c r="A696" s="304" t="s">
        <v>367</v>
      </c>
      <c r="B696" s="305"/>
      <c r="C696" s="305"/>
      <c r="D696" s="305"/>
      <c r="E696" s="305"/>
      <c r="F696" s="305"/>
      <c r="G696" s="305"/>
      <c r="H696" s="306"/>
    </row>
    <row r="697" spans="1:8" x14ac:dyDescent="0.3">
      <c r="A697" s="1" t="s">
        <v>618</v>
      </c>
      <c r="B697" s="1">
        <v>1.8</v>
      </c>
      <c r="D697" s="310" t="s">
        <v>53</v>
      </c>
      <c r="E697" s="310"/>
      <c r="F697" s="310"/>
      <c r="G697" s="310" t="s">
        <v>54</v>
      </c>
      <c r="H697" s="310"/>
    </row>
    <row r="698" spans="1:8" x14ac:dyDescent="0.3">
      <c r="A698" s="1" t="s">
        <v>628</v>
      </c>
      <c r="B698" s="1">
        <v>3.38</v>
      </c>
      <c r="G698" s="307" t="s">
        <v>577</v>
      </c>
      <c r="H698" s="307"/>
    </row>
    <row r="699" spans="1:8" x14ac:dyDescent="0.3">
      <c r="A699" s="1" t="s">
        <v>569</v>
      </c>
      <c r="B699" s="1">
        <v>81</v>
      </c>
      <c r="E699" s="1" t="s">
        <v>316</v>
      </c>
      <c r="F699" s="1">
        <f>B701*B697/SQRT(B699)</f>
        <v>-0.32897072539029454</v>
      </c>
    </row>
    <row r="701" spans="1:8" ht="18.600000000000001" x14ac:dyDescent="0.3">
      <c r="A701" s="1" t="s">
        <v>606</v>
      </c>
      <c r="B701" s="1">
        <f>NORMSINV(0.05)</f>
        <v>-1.6448536269514726</v>
      </c>
    </row>
    <row r="702" spans="1:8" ht="27.6" x14ac:dyDescent="0.3">
      <c r="D702" s="1" t="s">
        <v>574</v>
      </c>
      <c r="E702" s="167">
        <f>B698-F699</f>
        <v>3.7089707253902944</v>
      </c>
      <c r="F702" s="167">
        <f>B698+F699</f>
        <v>3.0510292746097054</v>
      </c>
    </row>
    <row r="704" spans="1:8" ht="14.4" x14ac:dyDescent="0.3">
      <c r="A704"/>
    </row>
    <row r="707" spans="1:8" ht="14.4" thickBot="1" x14ac:dyDescent="0.35"/>
    <row r="708" spans="1:8" ht="16.2" thickBot="1" x14ac:dyDescent="0.35">
      <c r="A708" s="304" t="s">
        <v>372</v>
      </c>
      <c r="B708" s="305"/>
      <c r="C708" s="305"/>
      <c r="D708" s="305"/>
      <c r="E708" s="305"/>
      <c r="F708" s="305"/>
      <c r="G708" s="305"/>
      <c r="H708" s="306"/>
    </row>
    <row r="709" spans="1:8" x14ac:dyDescent="0.3">
      <c r="A709" s="1" t="s">
        <v>569</v>
      </c>
      <c r="B709" s="1">
        <v>16</v>
      </c>
      <c r="D709" s="310" t="s">
        <v>53</v>
      </c>
      <c r="E709" s="310"/>
      <c r="F709" s="310"/>
      <c r="G709" s="162"/>
      <c r="H709" s="162"/>
    </row>
    <row r="710" spans="1:8" x14ac:dyDescent="0.3">
      <c r="A710" s="1" t="s">
        <v>629</v>
      </c>
      <c r="B710" s="1">
        <v>32</v>
      </c>
    </row>
    <row r="711" spans="1:8" ht="14.4" x14ac:dyDescent="0.3">
      <c r="A711" s="1" t="s">
        <v>618</v>
      </c>
      <c r="B711" s="1">
        <v>6.4</v>
      </c>
      <c r="D711"/>
    </row>
    <row r="713" spans="1:8" x14ac:dyDescent="0.3">
      <c r="B713" s="1">
        <v>1.7529999999999999</v>
      </c>
      <c r="G713" s="162"/>
      <c r="H713" s="162"/>
    </row>
    <row r="714" spans="1:8" x14ac:dyDescent="0.3">
      <c r="E714" s="1" t="s">
        <v>316</v>
      </c>
      <c r="F714" s="1">
        <f>B713*B711/SQRT(B709)</f>
        <v>2.8048000000000002</v>
      </c>
    </row>
    <row r="717" spans="1:8" ht="27.6" x14ac:dyDescent="0.3">
      <c r="D717" s="1" t="s">
        <v>574</v>
      </c>
      <c r="E717" s="167">
        <f>B710-F714</f>
        <v>29.1952</v>
      </c>
      <c r="F717" s="167">
        <f>B710+F714</f>
        <v>34.8048</v>
      </c>
    </row>
    <row r="719" spans="1:8" x14ac:dyDescent="0.3">
      <c r="D719" s="231" t="s">
        <v>54</v>
      </c>
      <c r="E719" s="231"/>
      <c r="F719" s="231"/>
    </row>
    <row r="723" spans="4:6" ht="14.4" x14ac:dyDescent="0.3">
      <c r="D723"/>
    </row>
    <row r="724" spans="4:6" x14ac:dyDescent="0.3">
      <c r="E724" s="1" t="s">
        <v>316</v>
      </c>
      <c r="F724" s="1">
        <f>CHIINV(0.05,15)</f>
        <v>24.99579013972863</v>
      </c>
    </row>
    <row r="726" spans="4:6" x14ac:dyDescent="0.3">
      <c r="E726" s="1" t="s">
        <v>316</v>
      </c>
      <c r="F726" s="1">
        <f>CHIINV(0.95,15)</f>
        <v>7.2609439276700334</v>
      </c>
    </row>
    <row r="729" spans="4:6" x14ac:dyDescent="0.3">
      <c r="E729" s="1" t="s">
        <v>316</v>
      </c>
      <c r="F729" s="1">
        <f>(B709-1)*B711^2/F724</f>
        <v>24.580139158052251</v>
      </c>
    </row>
    <row r="733" spans="4:6" x14ac:dyDescent="0.3">
      <c r="E733" s="1" t="s">
        <v>316</v>
      </c>
      <c r="F733" s="1">
        <f>(B709-1)*B711^2/F726</f>
        <v>84.617097462857714</v>
      </c>
    </row>
    <row r="736" spans="4:6" ht="27.6" x14ac:dyDescent="0.3">
      <c r="D736" s="1" t="s">
        <v>574</v>
      </c>
      <c r="E736" s="167">
        <f>SQRT(F729)</f>
        <v>4.9578361366681181</v>
      </c>
      <c r="F736" s="167">
        <f>SQRT(F733)</f>
        <v>9.1987552126827303</v>
      </c>
    </row>
    <row r="737" spans="1:8" ht="14.4" thickBot="1" x14ac:dyDescent="0.35"/>
    <row r="738" spans="1:8" ht="16.2" thickBot="1" x14ac:dyDescent="0.35">
      <c r="A738" s="304" t="s">
        <v>377</v>
      </c>
      <c r="B738" s="305"/>
      <c r="C738" s="305"/>
      <c r="D738" s="305"/>
      <c r="E738" s="305"/>
      <c r="F738" s="305"/>
      <c r="G738" s="305"/>
      <c r="H738" s="306"/>
    </row>
    <row r="739" spans="1:8" ht="27.6" x14ac:dyDescent="0.3">
      <c r="B739" s="1" t="s">
        <v>133</v>
      </c>
      <c r="E739" s="310" t="s">
        <v>54</v>
      </c>
      <c r="F739" s="310"/>
      <c r="G739" s="310"/>
      <c r="H739" s="162"/>
    </row>
    <row r="740" spans="1:8" x14ac:dyDescent="0.3">
      <c r="A740" s="1">
        <v>1</v>
      </c>
      <c r="B740" s="1">
        <v>12.2</v>
      </c>
      <c r="C740" s="1">
        <f t="shared" ref="C740:C745" si="11">(B740-$B$746)^2</f>
        <v>16.537777777777805</v>
      </c>
    </row>
    <row r="741" spans="1:8" x14ac:dyDescent="0.3">
      <c r="A741" s="1">
        <v>2</v>
      </c>
      <c r="B741" s="1">
        <v>18.399999999999999</v>
      </c>
      <c r="C741" s="1">
        <f t="shared" si="11"/>
        <v>4.5511111111110942</v>
      </c>
    </row>
    <row r="742" spans="1:8" x14ac:dyDescent="0.3">
      <c r="A742" s="1">
        <v>3</v>
      </c>
      <c r="B742" s="1">
        <v>23.1</v>
      </c>
      <c r="C742" s="1">
        <f t="shared" si="11"/>
        <v>46.694444444444429</v>
      </c>
    </row>
    <row r="743" spans="1:8" x14ac:dyDescent="0.3">
      <c r="A743" s="1">
        <v>4</v>
      </c>
      <c r="B743" s="1">
        <v>11.7</v>
      </c>
      <c r="C743" s="1">
        <f t="shared" si="11"/>
        <v>20.854444444444475</v>
      </c>
    </row>
    <row r="744" spans="1:8" x14ac:dyDescent="0.3">
      <c r="A744" s="1">
        <v>5</v>
      </c>
      <c r="B744" s="1">
        <v>8.1999999999999993</v>
      </c>
      <c r="C744" s="1">
        <f t="shared" si="11"/>
        <v>65.071111111111165</v>
      </c>
      <c r="F744" s="1" t="s">
        <v>316</v>
      </c>
      <c r="G744" s="1">
        <f>F746*B753/SQRT(B750)</f>
        <v>-6.8717753397649295</v>
      </c>
    </row>
    <row r="745" spans="1:8" x14ac:dyDescent="0.3">
      <c r="A745" s="1">
        <v>6</v>
      </c>
      <c r="B745" s="1">
        <v>24</v>
      </c>
      <c r="C745" s="1">
        <f t="shared" si="11"/>
        <v>59.804444444444407</v>
      </c>
    </row>
    <row r="746" spans="1:8" ht="18.600000000000001" x14ac:dyDescent="0.3">
      <c r="A746" s="1" t="s">
        <v>3</v>
      </c>
      <c r="B746" s="167">
        <f>AVERAGE(B740:B745)</f>
        <v>16.266666666666669</v>
      </c>
      <c r="E746" s="1" t="s">
        <v>606</v>
      </c>
      <c r="F746" s="1">
        <f>NORMSINV(0.005)</f>
        <v>-2.5758293035488999</v>
      </c>
    </row>
    <row r="747" spans="1:8" x14ac:dyDescent="0.3">
      <c r="A747" s="1" t="s">
        <v>255</v>
      </c>
      <c r="C747" s="167">
        <f>SUM(C740:C745)/5</f>
        <v>42.702666666666673</v>
      </c>
    </row>
    <row r="748" spans="1:8" ht="27.6" x14ac:dyDescent="0.3">
      <c r="A748" s="1" t="s">
        <v>4</v>
      </c>
      <c r="C748" s="1">
        <f>SQRT(C747)</f>
        <v>6.5347277423521382</v>
      </c>
      <c r="E748" s="1" t="s">
        <v>574</v>
      </c>
      <c r="F748" s="167">
        <f>B751-G744</f>
        <v>23.1384420064316</v>
      </c>
      <c r="G748" s="167">
        <f>B751+G744</f>
        <v>9.3948913269017389</v>
      </c>
    </row>
    <row r="750" spans="1:8" x14ac:dyDescent="0.3">
      <c r="A750" s="1" t="s">
        <v>569</v>
      </c>
      <c r="B750" s="1">
        <v>6</v>
      </c>
      <c r="E750" s="231" t="s">
        <v>55</v>
      </c>
      <c r="F750" s="231"/>
      <c r="G750" s="231"/>
    </row>
    <row r="751" spans="1:8" x14ac:dyDescent="0.3">
      <c r="A751" s="1" t="s">
        <v>629</v>
      </c>
      <c r="B751" s="1">
        <f>B746</f>
        <v>16.266666666666669</v>
      </c>
    </row>
    <row r="752" spans="1:8" x14ac:dyDescent="0.3">
      <c r="A752" s="1" t="s">
        <v>630</v>
      </c>
      <c r="B752" s="1">
        <f>C747</f>
        <v>42.702666666666673</v>
      </c>
    </row>
    <row r="753" spans="1:7" x14ac:dyDescent="0.3">
      <c r="A753" s="1" t="s">
        <v>585</v>
      </c>
      <c r="B753" s="1">
        <f>C748</f>
        <v>6.5347277423521382</v>
      </c>
    </row>
    <row r="754" spans="1:7" ht="14.4" x14ac:dyDescent="0.3">
      <c r="E754"/>
    </row>
    <row r="755" spans="1:7" x14ac:dyDescent="0.3">
      <c r="A755" s="168" t="s">
        <v>56</v>
      </c>
      <c r="F755" s="1" t="s">
        <v>316</v>
      </c>
      <c r="G755" s="1">
        <f>CHIINV(0.005,5)</f>
        <v>16.749602343639044</v>
      </c>
    </row>
    <row r="756" spans="1:7" x14ac:dyDescent="0.3">
      <c r="A756" s="167" t="s">
        <v>576</v>
      </c>
    </row>
    <row r="757" spans="1:7" x14ac:dyDescent="0.3">
      <c r="F757" s="1" t="s">
        <v>316</v>
      </c>
      <c r="G757" s="1">
        <f>CHIINV(0.995,5)</f>
        <v>0.41174190383249976</v>
      </c>
    </row>
    <row r="760" spans="1:7" x14ac:dyDescent="0.3">
      <c r="F760" s="1" t="s">
        <v>316</v>
      </c>
      <c r="G760" s="1">
        <f>(B750-1)*B752/G755</f>
        <v>12.747367307762911</v>
      </c>
    </row>
    <row r="764" spans="1:7" x14ac:dyDescent="0.3">
      <c r="F764" s="1" t="s">
        <v>316</v>
      </c>
      <c r="G764" s="1">
        <f>(B750-1)*B752/G760</f>
        <v>16.749602343639044</v>
      </c>
    </row>
    <row r="767" spans="1:7" ht="27.6" x14ac:dyDescent="0.3">
      <c r="E767" s="1" t="s">
        <v>574</v>
      </c>
      <c r="F767" s="167">
        <f>SQRT(G760)</f>
        <v>3.570345544588494</v>
      </c>
      <c r="G767" s="167">
        <f>SQRT(G764)</f>
        <v>4.0926278041912196</v>
      </c>
    </row>
    <row r="768" spans="1:7" ht="14.4" thickBot="1" x14ac:dyDescent="0.35"/>
    <row r="769" spans="1:8" ht="16.2" thickBot="1" x14ac:dyDescent="0.35">
      <c r="A769" s="304" t="s">
        <v>380</v>
      </c>
      <c r="B769" s="305"/>
      <c r="C769" s="305"/>
      <c r="D769" s="305"/>
      <c r="E769" s="305"/>
      <c r="F769" s="305"/>
      <c r="G769" s="305"/>
      <c r="H769" s="306"/>
    </row>
    <row r="770" spans="1:8" x14ac:dyDescent="0.3">
      <c r="A770" s="310" t="s">
        <v>53</v>
      </c>
      <c r="B770" s="310"/>
      <c r="C770" s="310"/>
      <c r="D770" s="310"/>
      <c r="E770" s="316" t="s">
        <v>54</v>
      </c>
      <c r="F770" s="225"/>
      <c r="G770" s="225"/>
      <c r="H770" s="225"/>
    </row>
    <row r="771" spans="1:8" ht="15.6" customHeight="1" x14ac:dyDescent="0.3">
      <c r="A771" s="307" t="s">
        <v>631</v>
      </c>
      <c r="B771" s="307"/>
      <c r="C771" s="307"/>
      <c r="D771" s="307"/>
      <c r="E771" s="307" t="s">
        <v>632</v>
      </c>
      <c r="F771" s="307"/>
      <c r="G771" s="307"/>
      <c r="H771" s="307"/>
    </row>
    <row r="772" spans="1:8" x14ac:dyDescent="0.3">
      <c r="E772" s="307"/>
      <c r="F772" s="307"/>
      <c r="G772" s="307"/>
      <c r="H772" s="307"/>
    </row>
    <row r="773" spans="1:8" x14ac:dyDescent="0.3">
      <c r="E773" s="307"/>
      <c r="F773" s="307"/>
      <c r="G773" s="307"/>
      <c r="H773" s="307"/>
    </row>
    <row r="774" spans="1:8" x14ac:dyDescent="0.3">
      <c r="E774" s="307"/>
      <c r="F774" s="307"/>
      <c r="G774" s="307"/>
      <c r="H774" s="307"/>
    </row>
    <row r="775" spans="1:8" x14ac:dyDescent="0.3">
      <c r="E775" s="307"/>
      <c r="F775" s="307"/>
      <c r="G775" s="307"/>
      <c r="H775" s="307"/>
    </row>
    <row r="776" spans="1:8" x14ac:dyDescent="0.3">
      <c r="E776" s="307"/>
      <c r="F776" s="307"/>
      <c r="G776" s="307"/>
      <c r="H776" s="307"/>
    </row>
    <row r="777" spans="1:8" x14ac:dyDescent="0.3">
      <c r="E777" s="307"/>
      <c r="F777" s="307"/>
      <c r="G777" s="307"/>
      <c r="H777" s="307"/>
    </row>
    <row r="809" spans="1:8" ht="14.4" thickBot="1" x14ac:dyDescent="0.35"/>
    <row r="810" spans="1:8" ht="16.2" thickBot="1" x14ac:dyDescent="0.35">
      <c r="A810" s="304" t="s">
        <v>401</v>
      </c>
      <c r="B810" s="305"/>
      <c r="C810" s="305"/>
      <c r="D810" s="305"/>
      <c r="E810" s="305"/>
      <c r="F810" s="305"/>
      <c r="G810" s="305"/>
      <c r="H810" s="306"/>
    </row>
    <row r="811" spans="1:8" x14ac:dyDescent="0.3">
      <c r="A811" s="1" t="s">
        <v>569</v>
      </c>
      <c r="B811" s="1">
        <v>12</v>
      </c>
    </row>
    <row r="813" spans="1:8" ht="41.4" x14ac:dyDescent="0.3">
      <c r="B813" s="1" t="s">
        <v>633</v>
      </c>
      <c r="C813" s="1" t="s">
        <v>634</v>
      </c>
      <c r="D813" s="1" t="s">
        <v>597</v>
      </c>
      <c r="E813" s="1" t="s">
        <v>635</v>
      </c>
    </row>
    <row r="814" spans="1:8" x14ac:dyDescent="0.3">
      <c r="A814" s="1">
        <v>1</v>
      </c>
      <c r="B814" s="1">
        <v>69</v>
      </c>
      <c r="C814" s="1">
        <v>75</v>
      </c>
      <c r="D814" s="1">
        <f>C814-B814</f>
        <v>6</v>
      </c>
      <c r="E814" s="1">
        <f>(D814-$D$826)^2</f>
        <v>3.673611111111112</v>
      </c>
    </row>
    <row r="815" spans="1:8" x14ac:dyDescent="0.3">
      <c r="A815" s="1">
        <v>2</v>
      </c>
      <c r="B815" s="1">
        <v>54</v>
      </c>
      <c r="C815" s="1">
        <v>78</v>
      </c>
      <c r="D815" s="1">
        <f t="shared" ref="D815:D825" si="12">C815-B815</f>
        <v>24</v>
      </c>
      <c r="E815" s="1">
        <f t="shared" ref="E815:E825" si="13">(D815-$D$826)^2</f>
        <v>396.67361111111114</v>
      </c>
    </row>
    <row r="816" spans="1:8" x14ac:dyDescent="0.3">
      <c r="A816" s="1">
        <v>3</v>
      </c>
      <c r="B816" s="1">
        <v>82</v>
      </c>
      <c r="C816" s="1">
        <v>64</v>
      </c>
      <c r="D816" s="1">
        <f t="shared" si="12"/>
        <v>-18</v>
      </c>
      <c r="E816" s="1">
        <f t="shared" si="13"/>
        <v>487.67361111111109</v>
      </c>
    </row>
    <row r="817" spans="1:5" x14ac:dyDescent="0.3">
      <c r="A817" s="1">
        <v>4</v>
      </c>
      <c r="B817" s="1">
        <v>67</v>
      </c>
      <c r="C817" s="1">
        <v>72</v>
      </c>
      <c r="D817" s="1">
        <f t="shared" si="12"/>
        <v>5</v>
      </c>
      <c r="E817" s="1">
        <f t="shared" si="13"/>
        <v>0.84027777777777835</v>
      </c>
    </row>
    <row r="818" spans="1:5" x14ac:dyDescent="0.3">
      <c r="A818" s="1">
        <v>5</v>
      </c>
      <c r="B818" s="1">
        <v>60</v>
      </c>
      <c r="C818" s="1">
        <v>70</v>
      </c>
      <c r="D818" s="1">
        <f t="shared" si="12"/>
        <v>10</v>
      </c>
      <c r="E818" s="1">
        <f t="shared" si="13"/>
        <v>35.00694444444445</v>
      </c>
    </row>
    <row r="819" spans="1:5" x14ac:dyDescent="0.3">
      <c r="A819" s="1">
        <v>6</v>
      </c>
      <c r="B819" s="1">
        <v>73</v>
      </c>
      <c r="C819" s="1">
        <v>63</v>
      </c>
      <c r="D819" s="1">
        <f t="shared" si="12"/>
        <v>-10</v>
      </c>
      <c r="E819" s="1">
        <f t="shared" si="13"/>
        <v>198.34027777777774</v>
      </c>
    </row>
    <row r="820" spans="1:5" x14ac:dyDescent="0.3">
      <c r="A820" s="1">
        <v>7</v>
      </c>
      <c r="B820" s="1">
        <v>75</v>
      </c>
      <c r="C820" s="1">
        <v>74</v>
      </c>
      <c r="D820" s="1">
        <f t="shared" si="12"/>
        <v>-1</v>
      </c>
      <c r="E820" s="1">
        <f t="shared" si="13"/>
        <v>25.840277777777775</v>
      </c>
    </row>
    <row r="821" spans="1:5" x14ac:dyDescent="0.3">
      <c r="A821" s="1">
        <v>8</v>
      </c>
      <c r="B821" s="1">
        <v>78</v>
      </c>
      <c r="C821" s="1">
        <v>87</v>
      </c>
      <c r="D821" s="1">
        <f t="shared" si="12"/>
        <v>9</v>
      </c>
      <c r="E821" s="1">
        <f t="shared" si="13"/>
        <v>24.173611111111114</v>
      </c>
    </row>
    <row r="822" spans="1:5" x14ac:dyDescent="0.3">
      <c r="A822" s="1">
        <v>9</v>
      </c>
      <c r="B822" s="1">
        <v>64</v>
      </c>
      <c r="C822" s="1">
        <v>69</v>
      </c>
      <c r="D822" s="1">
        <f t="shared" si="12"/>
        <v>5</v>
      </c>
      <c r="E822" s="1">
        <f t="shared" si="13"/>
        <v>0.84027777777777835</v>
      </c>
    </row>
    <row r="823" spans="1:5" x14ac:dyDescent="0.3">
      <c r="A823" s="1">
        <v>10</v>
      </c>
      <c r="B823" s="1">
        <v>72</v>
      </c>
      <c r="C823" s="1">
        <v>72</v>
      </c>
      <c r="D823" s="1">
        <f t="shared" si="12"/>
        <v>0</v>
      </c>
      <c r="E823" s="1">
        <f t="shared" si="13"/>
        <v>16.673611111111107</v>
      </c>
    </row>
    <row r="824" spans="1:5" x14ac:dyDescent="0.3">
      <c r="A824" s="1">
        <v>11</v>
      </c>
      <c r="B824" s="1">
        <v>70</v>
      </c>
      <c r="C824" s="1">
        <v>77</v>
      </c>
      <c r="D824" s="1">
        <f t="shared" si="12"/>
        <v>7</v>
      </c>
      <c r="E824" s="1">
        <f t="shared" si="13"/>
        <v>8.5069444444444464</v>
      </c>
    </row>
    <row r="825" spans="1:5" x14ac:dyDescent="0.3">
      <c r="A825" s="1">
        <v>12</v>
      </c>
      <c r="B825" s="1">
        <v>63</v>
      </c>
      <c r="C825" s="1">
        <v>75</v>
      </c>
      <c r="D825" s="1">
        <f t="shared" si="12"/>
        <v>12</v>
      </c>
      <c r="E825" s="1">
        <f t="shared" si="13"/>
        <v>62.673611111111114</v>
      </c>
    </row>
    <row r="826" spans="1:5" x14ac:dyDescent="0.3">
      <c r="C826" s="1" t="s">
        <v>3</v>
      </c>
      <c r="D826" s="1">
        <f>AVERAGE(D814:D825)</f>
        <v>4.083333333333333</v>
      </c>
    </row>
    <row r="827" spans="1:5" x14ac:dyDescent="0.3">
      <c r="C827" s="1" t="s">
        <v>134</v>
      </c>
      <c r="E827" s="1">
        <f>SUM(E814:E825)/11</f>
        <v>114.62878787878786</v>
      </c>
    </row>
    <row r="828" spans="1:5" ht="27.6" x14ac:dyDescent="0.3">
      <c r="C828" s="1" t="s">
        <v>4</v>
      </c>
      <c r="E828" s="1">
        <f>SQRT(E827)</f>
        <v>10.706483450638116</v>
      </c>
    </row>
    <row r="831" spans="1:5" ht="15.6" x14ac:dyDescent="0.3">
      <c r="A831" s="173" t="s">
        <v>636</v>
      </c>
    </row>
    <row r="833" spans="1:8" x14ac:dyDescent="0.3">
      <c r="B833" s="1" t="s">
        <v>316</v>
      </c>
      <c r="C833" s="1">
        <f>TINV(0.025,11)</f>
        <v>2.5930926825393619</v>
      </c>
    </row>
    <row r="835" spans="1:8" x14ac:dyDescent="0.3">
      <c r="B835" s="1" t="s">
        <v>316</v>
      </c>
      <c r="C835" s="1">
        <f>C833*E828/SQRT(B811)</f>
        <v>8.0144600176442715</v>
      </c>
    </row>
    <row r="836" spans="1:8" x14ac:dyDescent="0.3">
      <c r="B836" s="308"/>
      <c r="C836" s="308"/>
      <c r="D836" s="308"/>
      <c r="E836" s="308"/>
      <c r="F836" s="308"/>
    </row>
    <row r="837" spans="1:8" ht="27.6" x14ac:dyDescent="0.3">
      <c r="A837" s="1" t="s">
        <v>574</v>
      </c>
      <c r="B837" s="167">
        <f>D826-C835</f>
        <v>-3.9311266843109385</v>
      </c>
      <c r="C837" s="167">
        <f>D826+C835</f>
        <v>12.097793350977604</v>
      </c>
      <c r="D837" s="307" t="s">
        <v>601</v>
      </c>
      <c r="E837" s="307"/>
      <c r="F837" s="307"/>
    </row>
    <row r="838" spans="1:8" ht="14.4" thickBot="1" x14ac:dyDescent="0.35"/>
    <row r="839" spans="1:8" ht="16.2" thickBot="1" x14ac:dyDescent="0.35">
      <c r="A839" s="304" t="s">
        <v>402</v>
      </c>
      <c r="B839" s="305"/>
      <c r="C839" s="305"/>
      <c r="D839" s="305"/>
      <c r="E839" s="305"/>
      <c r="F839" s="305"/>
      <c r="G839" s="305"/>
      <c r="H839" s="306"/>
    </row>
    <row r="840" spans="1:8" x14ac:dyDescent="0.3">
      <c r="B840" s="1" t="s">
        <v>637</v>
      </c>
      <c r="C840" s="1" t="s">
        <v>638</v>
      </c>
    </row>
    <row r="841" spans="1:8" x14ac:dyDescent="0.3">
      <c r="A841" s="1">
        <v>1</v>
      </c>
      <c r="B841" s="1">
        <v>80</v>
      </c>
      <c r="C841" s="1">
        <v>74</v>
      </c>
      <c r="D841" s="1">
        <f>B841-C841</f>
        <v>6</v>
      </c>
      <c r="E841" s="1">
        <f>(D841-$D$851)^2</f>
        <v>6.25</v>
      </c>
    </row>
    <row r="842" spans="1:8" x14ac:dyDescent="0.3">
      <c r="A842" s="1">
        <v>2</v>
      </c>
      <c r="B842" s="1">
        <v>65</v>
      </c>
      <c r="C842" s="1">
        <v>63</v>
      </c>
      <c r="D842" s="1">
        <f t="shared" ref="D842:D850" si="14">B842-C842</f>
        <v>2</v>
      </c>
      <c r="E842" s="1">
        <f t="shared" ref="E842:E850" si="15">(D842-$D$851)^2</f>
        <v>2.25</v>
      </c>
    </row>
    <row r="843" spans="1:8" x14ac:dyDescent="0.3">
      <c r="A843" s="1">
        <v>3</v>
      </c>
      <c r="B843" s="1">
        <v>87</v>
      </c>
      <c r="C843" s="1">
        <v>91</v>
      </c>
      <c r="D843" s="1">
        <f t="shared" si="14"/>
        <v>-4</v>
      </c>
      <c r="E843" s="1">
        <f t="shared" si="15"/>
        <v>56.25</v>
      </c>
    </row>
    <row r="844" spans="1:8" x14ac:dyDescent="0.3">
      <c r="A844" s="1">
        <v>4</v>
      </c>
      <c r="B844" s="1">
        <v>64</v>
      </c>
      <c r="C844" s="1">
        <v>65</v>
      </c>
      <c r="D844" s="1">
        <f t="shared" si="14"/>
        <v>-1</v>
      </c>
      <c r="E844" s="1">
        <f t="shared" si="15"/>
        <v>20.25</v>
      </c>
    </row>
    <row r="845" spans="1:8" x14ac:dyDescent="0.3">
      <c r="A845" s="1">
        <v>5</v>
      </c>
      <c r="B845" s="1">
        <v>73</v>
      </c>
      <c r="C845" s="1">
        <v>64</v>
      </c>
      <c r="D845" s="1">
        <f t="shared" si="14"/>
        <v>9</v>
      </c>
      <c r="E845" s="1">
        <f t="shared" si="15"/>
        <v>30.25</v>
      </c>
    </row>
    <row r="846" spans="1:8" x14ac:dyDescent="0.3">
      <c r="A846" s="1">
        <v>6</v>
      </c>
      <c r="B846" s="1">
        <v>78</v>
      </c>
      <c r="C846" s="1">
        <v>71</v>
      </c>
      <c r="D846" s="1">
        <f t="shared" si="14"/>
        <v>7</v>
      </c>
      <c r="E846" s="1">
        <f t="shared" si="15"/>
        <v>12.25</v>
      </c>
    </row>
    <row r="847" spans="1:8" x14ac:dyDescent="0.3">
      <c r="A847" s="1">
        <v>7</v>
      </c>
      <c r="B847" s="1">
        <v>83</v>
      </c>
      <c r="C847" s="1">
        <v>69</v>
      </c>
      <c r="D847" s="1">
        <f t="shared" si="14"/>
        <v>14</v>
      </c>
      <c r="E847" s="1">
        <f t="shared" si="15"/>
        <v>110.25</v>
      </c>
    </row>
    <row r="848" spans="1:8" x14ac:dyDescent="0.3">
      <c r="A848" s="1">
        <v>8</v>
      </c>
      <c r="B848" s="1">
        <v>91</v>
      </c>
      <c r="C848" s="1">
        <v>90</v>
      </c>
      <c r="D848" s="1">
        <f t="shared" si="14"/>
        <v>1</v>
      </c>
      <c r="E848" s="1">
        <f t="shared" si="15"/>
        <v>6.25</v>
      </c>
    </row>
    <row r="849" spans="1:8" x14ac:dyDescent="0.3">
      <c r="A849" s="1">
        <v>9</v>
      </c>
      <c r="B849" s="1">
        <v>84</v>
      </c>
      <c r="C849" s="1">
        <v>79</v>
      </c>
      <c r="D849" s="1">
        <f t="shared" si="14"/>
        <v>5</v>
      </c>
      <c r="E849" s="1">
        <f t="shared" si="15"/>
        <v>2.25</v>
      </c>
    </row>
    <row r="850" spans="1:8" x14ac:dyDescent="0.3">
      <c r="A850" s="1">
        <v>10</v>
      </c>
      <c r="B850" s="1">
        <v>83</v>
      </c>
      <c r="C850" s="1">
        <v>87</v>
      </c>
      <c r="D850" s="1">
        <f t="shared" si="14"/>
        <v>-4</v>
      </c>
      <c r="E850" s="1">
        <f t="shared" si="15"/>
        <v>56.25</v>
      </c>
    </row>
    <row r="851" spans="1:8" x14ac:dyDescent="0.3">
      <c r="C851" s="1" t="s">
        <v>3</v>
      </c>
      <c r="D851" s="1">
        <f>AVERAGE(D841:D850)</f>
        <v>3.5</v>
      </c>
    </row>
    <row r="852" spans="1:8" x14ac:dyDescent="0.3">
      <c r="C852" s="1" t="s">
        <v>134</v>
      </c>
      <c r="E852" s="1">
        <f>SUM(E841:E850)/9</f>
        <v>33.611111111111114</v>
      </c>
    </row>
    <row r="853" spans="1:8" ht="27.6" x14ac:dyDescent="0.3">
      <c r="C853" s="1" t="s">
        <v>4</v>
      </c>
      <c r="E853" s="1">
        <f>SQRT(E852)</f>
        <v>5.7975090436420293</v>
      </c>
    </row>
    <row r="855" spans="1:8" ht="15.6" x14ac:dyDescent="0.3">
      <c r="A855" s="173" t="s">
        <v>636</v>
      </c>
    </row>
    <row r="857" spans="1:8" x14ac:dyDescent="0.3">
      <c r="B857" s="1" t="s">
        <v>316</v>
      </c>
      <c r="C857" s="1">
        <f>TINV(0.05,9)</f>
        <v>2.2621571627982053</v>
      </c>
    </row>
    <row r="859" spans="1:8" x14ac:dyDescent="0.3">
      <c r="B859" s="1" t="s">
        <v>316</v>
      </c>
      <c r="C859" s="1">
        <f>C857*E853/SQRT(10)</f>
        <v>4.1472881317967101</v>
      </c>
    </row>
    <row r="860" spans="1:8" x14ac:dyDescent="0.3">
      <c r="B860" s="231" t="s">
        <v>53</v>
      </c>
      <c r="C860" s="231"/>
      <c r="D860" s="231"/>
      <c r="E860" s="231"/>
      <c r="F860" s="231"/>
      <c r="G860" s="168" t="s">
        <v>54</v>
      </c>
    </row>
    <row r="861" spans="1:8" ht="27.6" x14ac:dyDescent="0.3">
      <c r="A861" s="1" t="s">
        <v>574</v>
      </c>
      <c r="B861" s="167">
        <f>D851-C859</f>
        <v>-0.64728813179671008</v>
      </c>
      <c r="C861" s="167">
        <f>D851+C859</f>
        <v>7.6472881317967101</v>
      </c>
      <c r="D861" s="307" t="s">
        <v>601</v>
      </c>
      <c r="E861" s="307"/>
      <c r="F861" s="307"/>
      <c r="G861" s="167" t="s">
        <v>577</v>
      </c>
    </row>
    <row r="862" spans="1:8" ht="14.4" thickBot="1" x14ac:dyDescent="0.35"/>
    <row r="863" spans="1:8" ht="16.2" thickBot="1" x14ac:dyDescent="0.35">
      <c r="A863" s="304" t="s">
        <v>403</v>
      </c>
      <c r="B863" s="305"/>
      <c r="C863" s="305"/>
      <c r="D863" s="305"/>
      <c r="E863" s="305"/>
      <c r="F863" s="305"/>
      <c r="G863" s="305"/>
      <c r="H863" s="306"/>
    </row>
    <row r="864" spans="1:8" ht="27.6" x14ac:dyDescent="0.3">
      <c r="B864" s="1" t="s">
        <v>640</v>
      </c>
      <c r="F864" s="1" t="s">
        <v>640</v>
      </c>
    </row>
    <row r="865" spans="1:7" x14ac:dyDescent="0.3">
      <c r="A865" s="1">
        <v>1</v>
      </c>
      <c r="B865" s="1">
        <v>58.36</v>
      </c>
      <c r="C865" s="1">
        <f>(B865-$B$875)^2</f>
        <v>62.504836000000097</v>
      </c>
      <c r="E865" s="1">
        <v>1</v>
      </c>
      <c r="F865" s="1">
        <v>21.72</v>
      </c>
      <c r="G865" s="1">
        <f t="shared" ref="G865:G872" si="16">(F865-$F$873)^2</f>
        <v>53.63731406250006</v>
      </c>
    </row>
    <row r="866" spans="1:7" x14ac:dyDescent="0.3">
      <c r="A866" s="1">
        <v>2</v>
      </c>
      <c r="B866" s="1">
        <v>43.97</v>
      </c>
      <c r="C866" s="1">
        <f t="shared" ref="C866:C874" si="17">(B866-$B$875)^2</f>
        <v>42.042255999999931</v>
      </c>
      <c r="E866" s="1">
        <v>2</v>
      </c>
      <c r="F866" s="1">
        <v>43.81</v>
      </c>
      <c r="G866" s="1">
        <f t="shared" si="16"/>
        <v>218.04213906249998</v>
      </c>
    </row>
    <row r="867" spans="1:7" x14ac:dyDescent="0.3">
      <c r="A867" s="1">
        <v>3</v>
      </c>
      <c r="B867" s="1">
        <v>65.180000000000007</v>
      </c>
      <c r="C867" s="1">
        <f t="shared" si="17"/>
        <v>216.85507600000039</v>
      </c>
      <c r="E867" s="1">
        <v>3</v>
      </c>
      <c r="F867" s="1">
        <v>29.21</v>
      </c>
      <c r="G867" s="1">
        <f t="shared" si="16"/>
        <v>2.763906249999934E-2</v>
      </c>
    </row>
    <row r="868" spans="1:7" x14ac:dyDescent="0.3">
      <c r="A868" s="1">
        <v>4</v>
      </c>
      <c r="B868" s="1">
        <v>62.39</v>
      </c>
      <c r="C868" s="1">
        <f t="shared" si="17"/>
        <v>142.46809600000017</v>
      </c>
      <c r="E868" s="1">
        <v>4</v>
      </c>
      <c r="F868" s="1">
        <v>27.96</v>
      </c>
      <c r="G868" s="1">
        <f t="shared" si="16"/>
        <v>1.1745140625000043</v>
      </c>
    </row>
    <row r="869" spans="1:7" x14ac:dyDescent="0.3">
      <c r="A869" s="1">
        <v>5</v>
      </c>
      <c r="B869" s="1">
        <v>17.97</v>
      </c>
      <c r="C869" s="1">
        <f t="shared" si="17"/>
        <v>1055.2102559999996</v>
      </c>
      <c r="E869" s="1">
        <v>5</v>
      </c>
      <c r="F869" s="1">
        <v>37.83</v>
      </c>
      <c r="G869" s="1">
        <f t="shared" si="16"/>
        <v>77.198189062499921</v>
      </c>
    </row>
    <row r="870" spans="1:7" x14ac:dyDescent="0.3">
      <c r="A870" s="1">
        <v>6</v>
      </c>
      <c r="B870" s="1">
        <v>47.62</v>
      </c>
      <c r="C870" s="1">
        <f t="shared" si="17"/>
        <v>8.031555999999977</v>
      </c>
      <c r="E870" s="1">
        <v>6</v>
      </c>
      <c r="F870" s="1">
        <v>23.64</v>
      </c>
      <c r="G870" s="1">
        <f t="shared" si="16"/>
        <v>29.200514062500023</v>
      </c>
    </row>
    <row r="871" spans="1:7" x14ac:dyDescent="0.3">
      <c r="A871" s="1">
        <v>7</v>
      </c>
      <c r="B871" s="1">
        <v>63.21</v>
      </c>
      <c r="C871" s="1">
        <f t="shared" si="17"/>
        <v>162.71553600000018</v>
      </c>
      <c r="E871" s="1">
        <v>7</v>
      </c>
      <c r="F871" s="1">
        <v>16.25</v>
      </c>
      <c r="G871" s="1">
        <f t="shared" si="16"/>
        <v>163.68003906250007</v>
      </c>
    </row>
    <row r="872" spans="1:7" x14ac:dyDescent="0.3">
      <c r="A872" s="1">
        <v>8</v>
      </c>
      <c r="B872" s="1">
        <v>75.91</v>
      </c>
      <c r="C872" s="1">
        <f t="shared" si="17"/>
        <v>648.0079360000002</v>
      </c>
      <c r="E872" s="1">
        <v>8</v>
      </c>
      <c r="F872" s="1">
        <v>31.93</v>
      </c>
      <c r="G872" s="1">
        <f t="shared" si="16"/>
        <v>8.3304390624999822</v>
      </c>
    </row>
    <row r="873" spans="1:7" x14ac:dyDescent="0.3">
      <c r="A873" s="1">
        <v>9</v>
      </c>
      <c r="B873" s="1">
        <v>51.7</v>
      </c>
      <c r="C873" s="1">
        <f t="shared" si="17"/>
        <v>1.5525160000000233</v>
      </c>
      <c r="E873" s="1" t="s">
        <v>3</v>
      </c>
      <c r="F873" s="1">
        <f>AVERAGE(F865:F872)</f>
        <v>29.043750000000003</v>
      </c>
    </row>
    <row r="874" spans="1:7" x14ac:dyDescent="0.3">
      <c r="A874" s="1">
        <v>10</v>
      </c>
      <c r="B874" s="1">
        <v>18.23</v>
      </c>
      <c r="C874" s="1">
        <f t="shared" si="17"/>
        <v>1038.3861759999993</v>
      </c>
      <c r="E874" s="1" t="s">
        <v>134</v>
      </c>
      <c r="G874" s="1">
        <f>SUM(G865:G872)/7</f>
        <v>78.755826785714291</v>
      </c>
    </row>
    <row r="875" spans="1:7" ht="27.6" x14ac:dyDescent="0.3">
      <c r="A875" s="1" t="s">
        <v>3</v>
      </c>
      <c r="B875" s="1">
        <f>AVERAGE(B865:B874)</f>
        <v>50.453999999999994</v>
      </c>
      <c r="E875" s="1" t="s">
        <v>4</v>
      </c>
      <c r="G875" s="1">
        <f>SQRT(G874)</f>
        <v>8.8744479707593236</v>
      </c>
    </row>
    <row r="876" spans="1:7" x14ac:dyDescent="0.3">
      <c r="A876" s="1" t="s">
        <v>134</v>
      </c>
      <c r="C876" s="1">
        <f>SUM(C865:C874)/9</f>
        <v>375.30824888888884</v>
      </c>
    </row>
    <row r="877" spans="1:7" ht="27.6" x14ac:dyDescent="0.3">
      <c r="A877" s="1" t="s">
        <v>4</v>
      </c>
      <c r="C877" s="1">
        <f>SQRT(C876)</f>
        <v>19.372874048237883</v>
      </c>
    </row>
    <row r="879" spans="1:7" ht="14.4" x14ac:dyDescent="0.3">
      <c r="A879"/>
    </row>
    <row r="882" spans="1:8" x14ac:dyDescent="0.3">
      <c r="B882" s="1" t="s">
        <v>316</v>
      </c>
      <c r="C882" s="1">
        <f>B875-F873</f>
        <v>21.410249999999991</v>
      </c>
    </row>
    <row r="884" spans="1:8" x14ac:dyDescent="0.3">
      <c r="B884" s="1" t="s">
        <v>316</v>
      </c>
      <c r="C884" s="1">
        <v>1.746</v>
      </c>
    </row>
    <row r="886" spans="1:8" ht="14.4" x14ac:dyDescent="0.3">
      <c r="A886" s="178" t="s">
        <v>618</v>
      </c>
      <c r="B886" s="1" t="s">
        <v>316</v>
      </c>
      <c r="C886" s="1">
        <f>SQRT((9*C876+7*G874)/16)</f>
        <v>15.67056362160436</v>
      </c>
      <c r="E886"/>
    </row>
    <row r="888" spans="1:8" x14ac:dyDescent="0.3">
      <c r="B888" s="1" t="s">
        <v>316</v>
      </c>
      <c r="C888" s="1">
        <f>SQRT(18/80)</f>
        <v>0.47434164902525688</v>
      </c>
    </row>
    <row r="891" spans="1:8" ht="27.6" x14ac:dyDescent="0.3">
      <c r="A891" s="1" t="s">
        <v>574</v>
      </c>
      <c r="B891" s="167">
        <f>C882-C884*C886*C888</f>
        <v>8.4318810724604241</v>
      </c>
      <c r="C891" s="167">
        <f>C882+C884*C886*C888</f>
        <v>34.388618927539554</v>
      </c>
    </row>
    <row r="892" spans="1:8" ht="14.4" thickBot="1" x14ac:dyDescent="0.35"/>
    <row r="893" spans="1:8" ht="16.2" thickBot="1" x14ac:dyDescent="0.35">
      <c r="A893" s="304" t="s">
        <v>409</v>
      </c>
      <c r="B893" s="305"/>
      <c r="C893" s="305"/>
      <c r="D893" s="305"/>
      <c r="E893" s="305"/>
      <c r="F893" s="305"/>
      <c r="G893" s="305"/>
      <c r="H893" s="306"/>
    </row>
    <row r="894" spans="1:8" ht="27.6" x14ac:dyDescent="0.3">
      <c r="B894" s="1" t="s">
        <v>640</v>
      </c>
      <c r="F894" s="1" t="s">
        <v>640</v>
      </c>
    </row>
    <row r="895" spans="1:8" x14ac:dyDescent="0.3">
      <c r="A895" s="1">
        <v>1</v>
      </c>
      <c r="B895" s="1">
        <v>96</v>
      </c>
      <c r="C895" s="1">
        <f>(B895-$B$903)^2</f>
        <v>658.77777777777806</v>
      </c>
      <c r="E895" s="1">
        <v>1</v>
      </c>
      <c r="F895" s="1">
        <v>71</v>
      </c>
      <c r="G895" s="1">
        <f t="shared" ref="G895:G900" si="18">(F895-$F$901)^2</f>
        <v>1667.3611111111106</v>
      </c>
    </row>
    <row r="896" spans="1:8" x14ac:dyDescent="0.3">
      <c r="A896" s="1">
        <v>2</v>
      </c>
      <c r="B896" s="1">
        <v>71</v>
      </c>
      <c r="C896" s="1">
        <f t="shared" ref="C896:C902" si="19">(B896-$B$903)^2</f>
        <v>0.44444444444445075</v>
      </c>
      <c r="E896" s="1">
        <v>2</v>
      </c>
      <c r="F896" s="1">
        <v>173</v>
      </c>
      <c r="G896" s="1">
        <f t="shared" si="18"/>
        <v>3741.3611111111118</v>
      </c>
    </row>
    <row r="897" spans="1:7" x14ac:dyDescent="0.3">
      <c r="A897" s="1">
        <v>3</v>
      </c>
      <c r="B897" s="1">
        <v>144</v>
      </c>
      <c r="C897" s="1">
        <f t="shared" si="19"/>
        <v>5426.7777777777783</v>
      </c>
      <c r="E897" s="1">
        <v>3</v>
      </c>
      <c r="F897" s="1">
        <v>94</v>
      </c>
      <c r="G897" s="1">
        <f t="shared" si="18"/>
        <v>318.0277777777776</v>
      </c>
    </row>
    <row r="898" spans="1:7" x14ac:dyDescent="0.3">
      <c r="A898" s="1">
        <v>4</v>
      </c>
      <c r="B898" s="1">
        <v>62</v>
      </c>
      <c r="C898" s="1">
        <f t="shared" si="19"/>
        <v>69.444444444444372</v>
      </c>
      <c r="E898" s="1">
        <v>4</v>
      </c>
      <c r="F898" s="1">
        <v>111</v>
      </c>
      <c r="G898" s="1">
        <f t="shared" si="18"/>
        <v>0.69444444444443654</v>
      </c>
    </row>
    <row r="899" spans="1:7" x14ac:dyDescent="0.3">
      <c r="A899" s="1">
        <v>5</v>
      </c>
      <c r="B899" s="1">
        <v>31</v>
      </c>
      <c r="C899" s="1">
        <f t="shared" si="19"/>
        <v>1547.1111111111106</v>
      </c>
      <c r="E899" s="1">
        <v>5</v>
      </c>
      <c r="F899" s="1">
        <v>135</v>
      </c>
      <c r="G899" s="1">
        <f t="shared" si="18"/>
        <v>536.69444444444468</v>
      </c>
    </row>
    <row r="900" spans="1:7" x14ac:dyDescent="0.3">
      <c r="A900" s="1">
        <v>6</v>
      </c>
      <c r="B900" s="1">
        <v>18</v>
      </c>
      <c r="C900" s="1">
        <f t="shared" si="19"/>
        <v>2738.7777777777774</v>
      </c>
      <c r="E900" s="1">
        <v>6</v>
      </c>
      <c r="F900" s="1">
        <v>87</v>
      </c>
      <c r="G900" s="1">
        <f t="shared" si="18"/>
        <v>616.69444444444423</v>
      </c>
    </row>
    <row r="901" spans="1:7" x14ac:dyDescent="0.3">
      <c r="A901" s="1">
        <v>7</v>
      </c>
      <c r="B901" s="1">
        <v>56</v>
      </c>
      <c r="C901" s="1">
        <f t="shared" si="19"/>
        <v>205.44444444444431</v>
      </c>
      <c r="E901" s="1" t="s">
        <v>3</v>
      </c>
      <c r="F901" s="1">
        <f>AVERAGE(F895:F900)</f>
        <v>111.83333333333333</v>
      </c>
    </row>
    <row r="902" spans="1:7" x14ac:dyDescent="0.3">
      <c r="A902" s="1">
        <v>8</v>
      </c>
      <c r="B902" s="1">
        <v>92</v>
      </c>
      <c r="C902" s="1">
        <f t="shared" si="19"/>
        <v>469.44444444444463</v>
      </c>
      <c r="E902" s="1" t="s">
        <v>134</v>
      </c>
      <c r="G902" s="1">
        <f>SUM(G895:G900)/5</f>
        <v>1376.1666666666665</v>
      </c>
    </row>
    <row r="903" spans="1:7" ht="27.6" x14ac:dyDescent="0.3">
      <c r="A903" s="1" t="s">
        <v>3</v>
      </c>
      <c r="B903" s="1">
        <f>AVERAGE(B895:B900)</f>
        <v>70.333333333333329</v>
      </c>
      <c r="E903" s="1" t="s">
        <v>4</v>
      </c>
      <c r="G903" s="1">
        <f>SQRT(G902)</f>
        <v>37.096720430068565</v>
      </c>
    </row>
    <row r="904" spans="1:7" x14ac:dyDescent="0.3">
      <c r="A904" s="1" t="s">
        <v>134</v>
      </c>
      <c r="C904" s="1">
        <f>SUM(C895:C900)/7</f>
        <v>1491.6190476190475</v>
      </c>
    </row>
    <row r="905" spans="1:7" ht="27.6" x14ac:dyDescent="0.3">
      <c r="A905" s="1" t="s">
        <v>4</v>
      </c>
      <c r="C905" s="1">
        <f>SQRT(C904)</f>
        <v>38.621484275193872</v>
      </c>
    </row>
    <row r="907" spans="1:7" ht="14.4" x14ac:dyDescent="0.3">
      <c r="A907"/>
    </row>
    <row r="910" spans="1:7" x14ac:dyDescent="0.3">
      <c r="B910" s="1" t="s">
        <v>316</v>
      </c>
      <c r="C910" s="1">
        <f>B903-F901</f>
        <v>-41.5</v>
      </c>
    </row>
    <row r="912" spans="1:7" x14ac:dyDescent="0.3">
      <c r="B912" s="1" t="s">
        <v>316</v>
      </c>
      <c r="C912" s="1">
        <v>2.1789999999999998</v>
      </c>
      <c r="D912" s="1">
        <f>TINV(0.05,12)</f>
        <v>2.1788128296672284</v>
      </c>
    </row>
    <row r="914" spans="1:8" ht="14.4" x14ac:dyDescent="0.3">
      <c r="A914" s="178" t="s">
        <v>618</v>
      </c>
      <c r="B914" s="1" t="s">
        <v>316</v>
      </c>
      <c r="C914" s="1">
        <f>SQRT((7*C904+5*G902)/12)</f>
        <v>37.9936032627716</v>
      </c>
      <c r="E914"/>
    </row>
    <row r="916" spans="1:8" x14ac:dyDescent="0.3">
      <c r="B916" s="1" t="s">
        <v>316</v>
      </c>
      <c r="C916" s="1">
        <f>SQRT(14/48)</f>
        <v>0.54006172486732174</v>
      </c>
    </row>
    <row r="919" spans="1:8" ht="27.6" x14ac:dyDescent="0.3">
      <c r="A919" s="1" t="s">
        <v>574</v>
      </c>
      <c r="B919" s="167">
        <f>C910-C912*C914*C916</f>
        <v>-86.210663297285322</v>
      </c>
      <c r="C919" s="167">
        <f>C910+C912*C914*C916</f>
        <v>3.2106632972853291</v>
      </c>
      <c r="D919" s="307" t="s">
        <v>601</v>
      </c>
      <c r="E919" s="307"/>
      <c r="F919" s="307"/>
    </row>
    <row r="920" spans="1:8" ht="14.4" thickBot="1" x14ac:dyDescent="0.35"/>
    <row r="921" spans="1:8" ht="16.2" thickBot="1" x14ac:dyDescent="0.35">
      <c r="A921" s="304" t="s">
        <v>410</v>
      </c>
      <c r="B921" s="305"/>
      <c r="C921" s="305"/>
      <c r="D921" s="305"/>
      <c r="E921" s="305"/>
      <c r="F921" s="305"/>
      <c r="G921" s="305"/>
      <c r="H921" s="306"/>
    </row>
    <row r="922" spans="1:8" x14ac:dyDescent="0.3">
      <c r="B922" s="1" t="s">
        <v>642</v>
      </c>
      <c r="E922" s="1" t="s">
        <v>643</v>
      </c>
    </row>
    <row r="923" spans="1:8" x14ac:dyDescent="0.3">
      <c r="A923" s="1" t="s">
        <v>569</v>
      </c>
      <c r="B923" s="1">
        <v>879</v>
      </c>
      <c r="D923" s="1" t="s">
        <v>569</v>
      </c>
      <c r="E923" s="1">
        <v>801</v>
      </c>
    </row>
    <row r="924" spans="1:8" x14ac:dyDescent="0.3">
      <c r="A924" s="1" t="s">
        <v>629</v>
      </c>
      <c r="B924" s="1">
        <v>1.48</v>
      </c>
      <c r="D924" s="1" t="s">
        <v>629</v>
      </c>
      <c r="E924" s="1">
        <v>1.86</v>
      </c>
    </row>
    <row r="925" spans="1:8" x14ac:dyDescent="0.3">
      <c r="A925" s="1" t="s">
        <v>618</v>
      </c>
      <c r="B925" s="1">
        <v>0.68</v>
      </c>
      <c r="D925" s="1" t="s">
        <v>618</v>
      </c>
      <c r="E925" s="1">
        <v>0.8</v>
      </c>
    </row>
    <row r="926" spans="1:8" x14ac:dyDescent="0.3">
      <c r="A926" s="1" t="s">
        <v>134</v>
      </c>
      <c r="B926" s="1">
        <f>B925*B925</f>
        <v>0.46240000000000009</v>
      </c>
      <c r="D926" s="1" t="s">
        <v>134</v>
      </c>
      <c r="E926" s="1">
        <f>E925*E925</f>
        <v>0.64000000000000012</v>
      </c>
    </row>
    <row r="929" spans="1:8" ht="14.4" x14ac:dyDescent="0.3">
      <c r="A929"/>
    </row>
    <row r="930" spans="1:8" ht="18" x14ac:dyDescent="0.4">
      <c r="A930" s="173" t="s">
        <v>639</v>
      </c>
    </row>
    <row r="931" spans="1:8" ht="17.399999999999999" customHeight="1" x14ac:dyDescent="0.3">
      <c r="A931" s="1" t="s">
        <v>606</v>
      </c>
      <c r="B931" s="1" t="s">
        <v>316</v>
      </c>
      <c r="C931" s="1">
        <f>NORMSINV(0.025)</f>
        <v>-1.9599639845400538</v>
      </c>
    </row>
    <row r="933" spans="1:8" ht="27.6" x14ac:dyDescent="0.3">
      <c r="A933" s="1" t="s">
        <v>574</v>
      </c>
      <c r="B933" s="167">
        <f>(B924-E924)-C931*SQRT((B926/B923)+(E926/E923))</f>
        <v>-0.30865479157488479</v>
      </c>
      <c r="C933" s="167">
        <f>(B924-E924)+C931*SQRT((B926/B923)+(E926/E923))</f>
        <v>-0.45134520842511544</v>
      </c>
    </row>
    <row r="934" spans="1:8" ht="14.4" thickBot="1" x14ac:dyDescent="0.35"/>
    <row r="935" spans="1:8" ht="16.2" thickBot="1" x14ac:dyDescent="0.35">
      <c r="A935" s="304" t="s">
        <v>641</v>
      </c>
      <c r="B935" s="305"/>
      <c r="C935" s="305"/>
      <c r="D935" s="305"/>
      <c r="E935" s="305"/>
      <c r="F935" s="305"/>
      <c r="G935" s="305"/>
      <c r="H935" s="306"/>
    </row>
    <row r="936" spans="1:8" x14ac:dyDescent="0.3">
      <c r="B936" s="1" t="s">
        <v>541</v>
      </c>
      <c r="E936" s="1" t="s">
        <v>542</v>
      </c>
    </row>
    <row r="937" spans="1:8" x14ac:dyDescent="0.3">
      <c r="A937" s="1" t="s">
        <v>569</v>
      </c>
      <c r="B937" s="1">
        <v>569</v>
      </c>
      <c r="D937" s="1" t="s">
        <v>569</v>
      </c>
      <c r="E937" s="1">
        <v>517</v>
      </c>
    </row>
    <row r="938" spans="1:8" x14ac:dyDescent="0.3">
      <c r="A938" s="1" t="s">
        <v>241</v>
      </c>
      <c r="B938" s="1">
        <f>90/B937</f>
        <v>0.15817223198594024</v>
      </c>
      <c r="D938" s="1" t="s">
        <v>241</v>
      </c>
      <c r="E938" s="1">
        <f>85/E937</f>
        <v>0.16441005802707931</v>
      </c>
    </row>
    <row r="939" spans="1:8" x14ac:dyDescent="0.3">
      <c r="A939" s="1" t="s">
        <v>645</v>
      </c>
      <c r="B939" s="1">
        <f>1-B938</f>
        <v>0.84182776801405979</v>
      </c>
      <c r="D939" s="1" t="s">
        <v>645</v>
      </c>
      <c r="E939" s="1">
        <f>1-E938</f>
        <v>0.83558994197292069</v>
      </c>
    </row>
    <row r="940" spans="1:8" ht="14.4" x14ac:dyDescent="0.3">
      <c r="A940"/>
    </row>
    <row r="947" spans="1:8" x14ac:dyDescent="0.3">
      <c r="B947" s="1" t="s">
        <v>316</v>
      </c>
      <c r="C947" s="1">
        <f>B938-E938</f>
        <v>-6.2378260411390662E-3</v>
      </c>
    </row>
    <row r="949" spans="1:8" ht="18.600000000000001" x14ac:dyDescent="0.3">
      <c r="A949" s="1" t="s">
        <v>606</v>
      </c>
      <c r="B949" s="1" t="s">
        <v>316</v>
      </c>
      <c r="C949" s="1">
        <f>NORMSINV(0.05)</f>
        <v>-1.6448536269514726</v>
      </c>
    </row>
    <row r="951" spans="1:8" x14ac:dyDescent="0.3">
      <c r="B951" s="1" t="s">
        <v>644</v>
      </c>
      <c r="C951" s="1">
        <f>C949*SQRT(B938*B939/B937+E938*E939/E937)</f>
        <v>-3.6770401270634218E-2</v>
      </c>
    </row>
    <row r="954" spans="1:8" ht="27.6" x14ac:dyDescent="0.3">
      <c r="A954" s="1" t="s">
        <v>574</v>
      </c>
      <c r="B954" s="167">
        <f>C947-C949*C951</f>
        <v>-6.6719753935602796E-2</v>
      </c>
      <c r="C954" s="167">
        <f>C947+C949*C951</f>
        <v>5.4244101853324664E-2</v>
      </c>
      <c r="D954" s="307" t="s">
        <v>601</v>
      </c>
      <c r="E954" s="307"/>
      <c r="F954" s="307"/>
    </row>
    <row r="955" spans="1:8" ht="14.4" thickBot="1" x14ac:dyDescent="0.35"/>
    <row r="956" spans="1:8" ht="16.2" thickBot="1" x14ac:dyDescent="0.35">
      <c r="A956" s="304" t="s">
        <v>648</v>
      </c>
      <c r="B956" s="305"/>
      <c r="C956" s="305"/>
      <c r="D956" s="305"/>
      <c r="E956" s="305"/>
      <c r="F956" s="305"/>
      <c r="G956" s="305"/>
      <c r="H956" s="306"/>
    </row>
    <row r="957" spans="1:8" ht="27.6" x14ac:dyDescent="0.3">
      <c r="B957" s="1" t="s">
        <v>646</v>
      </c>
      <c r="E957" s="1" t="s">
        <v>647</v>
      </c>
    </row>
    <row r="958" spans="1:8" x14ac:dyDescent="0.3">
      <c r="A958" s="1" t="s">
        <v>569</v>
      </c>
      <c r="B958" s="1">
        <v>69</v>
      </c>
      <c r="D958" s="1" t="s">
        <v>569</v>
      </c>
      <c r="E958" s="1">
        <v>69</v>
      </c>
    </row>
    <row r="959" spans="1:8" x14ac:dyDescent="0.3">
      <c r="A959" s="1" t="s">
        <v>241</v>
      </c>
      <c r="B959" s="1">
        <f>43/69</f>
        <v>0.62318840579710144</v>
      </c>
      <c r="D959" s="1" t="s">
        <v>241</v>
      </c>
      <c r="E959" s="1">
        <f>30/69</f>
        <v>0.43478260869565216</v>
      </c>
    </row>
    <row r="960" spans="1:8" x14ac:dyDescent="0.3">
      <c r="A960" s="1" t="s">
        <v>645</v>
      </c>
      <c r="B960" s="1">
        <f>1-B959</f>
        <v>0.37681159420289856</v>
      </c>
      <c r="D960" s="1" t="s">
        <v>645</v>
      </c>
      <c r="E960" s="1">
        <f>1-E959</f>
        <v>0.56521739130434789</v>
      </c>
    </row>
    <row r="961" spans="1:8" ht="14.4" x14ac:dyDescent="0.3">
      <c r="A961"/>
    </row>
    <row r="968" spans="1:8" ht="18.600000000000001" x14ac:dyDescent="0.3">
      <c r="A968" s="1" t="s">
        <v>606</v>
      </c>
      <c r="B968" s="1" t="s">
        <v>316</v>
      </c>
      <c r="C968" s="1">
        <f>NORMSINV(0.025)</f>
        <v>-1.9599639845400538</v>
      </c>
    </row>
    <row r="970" spans="1:8" ht="27.6" customHeight="1" x14ac:dyDescent="0.3">
      <c r="A970" s="1" t="s">
        <v>574</v>
      </c>
      <c r="B970" s="167">
        <f>(B959-E959)-C968*SQRT((B959*(1-B959))/B958+(E959*(1-E959)/E958))</f>
        <v>0.3519753493953659</v>
      </c>
      <c r="C970" s="167">
        <f>(B959-E959)+C968*SQRT((B959*(1-B959))/B958+(E959*(1-E959)/E958))</f>
        <v>2.4836244807532659E-2</v>
      </c>
    </row>
    <row r="971" spans="1:8" ht="14.4" thickBot="1" x14ac:dyDescent="0.35"/>
    <row r="972" spans="1:8" ht="16.2" thickBot="1" x14ac:dyDescent="0.35">
      <c r="A972" s="304" t="s">
        <v>649</v>
      </c>
      <c r="B972" s="305"/>
      <c r="C972" s="305"/>
      <c r="D972" s="305"/>
      <c r="E972" s="305"/>
      <c r="F972" s="305"/>
      <c r="G972" s="305"/>
      <c r="H972" s="306"/>
    </row>
    <row r="973" spans="1:8" x14ac:dyDescent="0.3">
      <c r="B973" s="1" t="s">
        <v>541</v>
      </c>
      <c r="E973" s="1" t="s">
        <v>607</v>
      </c>
    </row>
    <row r="974" spans="1:8" x14ac:dyDescent="0.3">
      <c r="A974" s="1" t="s">
        <v>569</v>
      </c>
      <c r="B974" s="1">
        <v>94</v>
      </c>
      <c r="D974" s="1" t="s">
        <v>569</v>
      </c>
      <c r="E974" s="1">
        <v>68</v>
      </c>
    </row>
    <row r="975" spans="1:8" x14ac:dyDescent="0.3">
      <c r="A975" s="1" t="s">
        <v>241</v>
      </c>
      <c r="B975" s="1">
        <f>50/94</f>
        <v>0.53191489361702127</v>
      </c>
      <c r="D975" s="1" t="s">
        <v>241</v>
      </c>
      <c r="E975" s="1">
        <f>40/68</f>
        <v>0.58823529411764708</v>
      </c>
    </row>
    <row r="976" spans="1:8" x14ac:dyDescent="0.3">
      <c r="A976" s="1" t="s">
        <v>645</v>
      </c>
      <c r="B976" s="1">
        <f>1-B975</f>
        <v>0.46808510638297873</v>
      </c>
      <c r="D976" s="1" t="s">
        <v>645</v>
      </c>
      <c r="E976" s="1">
        <f>1-E975</f>
        <v>0.41176470588235292</v>
      </c>
    </row>
    <row r="977" spans="1:8" ht="14.4" x14ac:dyDescent="0.3">
      <c r="A977"/>
    </row>
    <row r="984" spans="1:8" ht="18.600000000000001" x14ac:dyDescent="0.3">
      <c r="A984" s="1" t="s">
        <v>606</v>
      </c>
      <c r="B984" s="1" t="s">
        <v>316</v>
      </c>
      <c r="C984" s="1">
        <f>NORMSINV(0.005)</f>
        <v>-2.5758293035488999</v>
      </c>
    </row>
    <row r="986" spans="1:8" ht="27.6" customHeight="1" x14ac:dyDescent="0.3">
      <c r="A986" s="1" t="s">
        <v>574</v>
      </c>
      <c r="B986" s="167">
        <f>(B975-E975)-C984*SQRT((B975*(1-B975))/B974+(E975*(1-E975)/E974))</f>
        <v>0.14667582129781556</v>
      </c>
      <c r="C986" s="167">
        <f>(B975-E975)+C984*SQRT((B975*(1-B975))/B974+(E975*(1-E975)/E974))</f>
        <v>-0.25931662229906716</v>
      </c>
      <c r="D986" s="301" t="s">
        <v>601</v>
      </c>
      <c r="E986" s="302"/>
      <c r="F986" s="303"/>
    </row>
    <row r="987" spans="1:8" ht="14.4" thickBot="1" x14ac:dyDescent="0.35"/>
    <row r="988" spans="1:8" ht="16.2" thickBot="1" x14ac:dyDescent="0.35">
      <c r="A988" s="304" t="s">
        <v>650</v>
      </c>
      <c r="B988" s="305"/>
      <c r="C988" s="305"/>
      <c r="D988" s="305"/>
      <c r="E988" s="305"/>
      <c r="F988" s="305"/>
      <c r="G988" s="305"/>
      <c r="H988" s="306"/>
    </row>
    <row r="990" spans="1:8" ht="27.6" x14ac:dyDescent="0.3">
      <c r="A990" s="1" t="s">
        <v>574</v>
      </c>
      <c r="B990" s="1">
        <v>0.41</v>
      </c>
      <c r="C990" s="1">
        <v>0.6</v>
      </c>
      <c r="E990"/>
      <c r="G990" s="1" t="s">
        <v>316</v>
      </c>
      <c r="H990" s="1">
        <f>0.25*C992^2/0.05^2</f>
        <v>787.94385766224161</v>
      </c>
    </row>
    <row r="991" spans="1:8" x14ac:dyDescent="0.3">
      <c r="H991" s="167">
        <v>788</v>
      </c>
    </row>
    <row r="992" spans="1:8" ht="18.600000000000001" x14ac:dyDescent="0.3">
      <c r="A992" s="1" t="s">
        <v>606</v>
      </c>
      <c r="B992" s="1" t="s">
        <v>316</v>
      </c>
      <c r="C992" s="1">
        <f>NORMSINV(0.0025)</f>
        <v>-2.8070337683438042</v>
      </c>
    </row>
  </sheetData>
  <mergeCells count="104">
    <mergeCell ref="A810:H810"/>
    <mergeCell ref="A771:D771"/>
    <mergeCell ref="A770:D770"/>
    <mergeCell ref="E770:H770"/>
    <mergeCell ref="E771:H777"/>
    <mergeCell ref="A638:H638"/>
    <mergeCell ref="A643:H643"/>
    <mergeCell ref="A738:H738"/>
    <mergeCell ref="E750:G750"/>
    <mergeCell ref="E739:G739"/>
    <mergeCell ref="A769:H769"/>
    <mergeCell ref="A708:H708"/>
    <mergeCell ref="D709:F709"/>
    <mergeCell ref="D719:F719"/>
    <mergeCell ref="A648:H648"/>
    <mergeCell ref="A653:H653"/>
    <mergeCell ref="B654:H654"/>
    <mergeCell ref="A656:H656"/>
    <mergeCell ref="D657:H657"/>
    <mergeCell ref="A696:H696"/>
    <mergeCell ref="D697:F697"/>
    <mergeCell ref="G697:H697"/>
    <mergeCell ref="G698:H698"/>
    <mergeCell ref="A571:H571"/>
    <mergeCell ref="A592:H592"/>
    <mergeCell ref="A523:H523"/>
    <mergeCell ref="A504:H504"/>
    <mergeCell ref="A539:H539"/>
    <mergeCell ref="A555:H555"/>
    <mergeCell ref="A608:H608"/>
    <mergeCell ref="A618:H618"/>
    <mergeCell ref="A628:H628"/>
    <mergeCell ref="A380:H380"/>
    <mergeCell ref="D404:F404"/>
    <mergeCell ref="A406:H406"/>
    <mergeCell ref="A322:H322"/>
    <mergeCell ref="A331:H331"/>
    <mergeCell ref="A348:H348"/>
    <mergeCell ref="A466:H466"/>
    <mergeCell ref="E464:G464"/>
    <mergeCell ref="A485:H485"/>
    <mergeCell ref="A421:H421"/>
    <mergeCell ref="A436:H436"/>
    <mergeCell ref="E449:G449"/>
    <mergeCell ref="A451:H451"/>
    <mergeCell ref="A226:H226"/>
    <mergeCell ref="A235:H235"/>
    <mergeCell ref="A191:H191"/>
    <mergeCell ref="A309:H309"/>
    <mergeCell ref="A310:H312"/>
    <mergeCell ref="A314:H314"/>
    <mergeCell ref="D315:H316"/>
    <mergeCell ref="A292:H292"/>
    <mergeCell ref="A302:H302"/>
    <mergeCell ref="C304:H307"/>
    <mergeCell ref="A1:H1"/>
    <mergeCell ref="C7:D7"/>
    <mergeCell ref="A11:H11"/>
    <mergeCell ref="A21:H21"/>
    <mergeCell ref="A46:H46"/>
    <mergeCell ref="A68:H68"/>
    <mergeCell ref="A78:H78"/>
    <mergeCell ref="A87:H87"/>
    <mergeCell ref="C53:D53"/>
    <mergeCell ref="A58:H58"/>
    <mergeCell ref="A96:H96"/>
    <mergeCell ref="A106:H106"/>
    <mergeCell ref="A116:H116"/>
    <mergeCell ref="E117:F117"/>
    <mergeCell ref="A129:H129"/>
    <mergeCell ref="A166:H166"/>
    <mergeCell ref="A176:H176"/>
    <mergeCell ref="F130:G130"/>
    <mergeCell ref="G686:H686"/>
    <mergeCell ref="A676:G676"/>
    <mergeCell ref="A684:H684"/>
    <mergeCell ref="D685:F685"/>
    <mergeCell ref="G685:H685"/>
    <mergeCell ref="A144:H144"/>
    <mergeCell ref="A154:H154"/>
    <mergeCell ref="A157:H157"/>
    <mergeCell ref="A155:H155"/>
    <mergeCell ref="A243:H243"/>
    <mergeCell ref="A252:H252"/>
    <mergeCell ref="A259:H259"/>
    <mergeCell ref="A273:H273"/>
    <mergeCell ref="A199:H199"/>
    <mergeCell ref="A208:H208"/>
    <mergeCell ref="A218:H218"/>
    <mergeCell ref="D986:F986"/>
    <mergeCell ref="A988:H988"/>
    <mergeCell ref="D954:F954"/>
    <mergeCell ref="A956:H956"/>
    <mergeCell ref="A972:H972"/>
    <mergeCell ref="B836:F836"/>
    <mergeCell ref="A893:H893"/>
    <mergeCell ref="D919:F919"/>
    <mergeCell ref="A921:H921"/>
    <mergeCell ref="A935:H935"/>
    <mergeCell ref="D837:F837"/>
    <mergeCell ref="A839:H839"/>
    <mergeCell ref="D861:F861"/>
    <mergeCell ref="A863:H863"/>
    <mergeCell ref="B860:F86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60"/>
  <sheetViews>
    <sheetView topLeftCell="A1347" zoomScale="115" zoomScaleNormal="115" workbookViewId="0">
      <selection activeCell="D1399" sqref="D1399"/>
    </sheetView>
  </sheetViews>
  <sheetFormatPr defaultColWidth="8.88671875" defaultRowHeight="13.8" x14ac:dyDescent="0.3"/>
  <cols>
    <col min="1" max="1" width="12.33203125" style="1" bestFit="1" customWidth="1"/>
    <col min="2" max="2" width="8.33203125" style="1" customWidth="1"/>
    <col min="3" max="3" width="12.6640625" style="1" customWidth="1"/>
    <col min="4" max="6" width="12.6640625" style="1" bestFit="1" customWidth="1"/>
    <col min="7" max="7" width="13.5546875" style="1" bestFit="1" customWidth="1"/>
    <col min="8" max="8" width="12" style="1" bestFit="1" customWidth="1"/>
    <col min="9" max="9" width="11.88671875" style="1" bestFit="1" customWidth="1"/>
    <col min="10" max="10" width="12" style="1" bestFit="1" customWidth="1"/>
    <col min="11" max="16384" width="8.88671875" style="1"/>
  </cols>
  <sheetData>
    <row r="1" spans="1:8" ht="15.6" customHeight="1" thickBot="1" x14ac:dyDescent="0.35">
      <c r="A1" s="318" t="s">
        <v>0</v>
      </c>
      <c r="B1" s="319"/>
      <c r="C1" s="319"/>
      <c r="D1" s="319"/>
      <c r="E1" s="319"/>
      <c r="F1" s="319"/>
      <c r="G1" s="319"/>
      <c r="H1" s="320"/>
    </row>
    <row r="3" spans="1:8" ht="14.4" customHeight="1" x14ac:dyDescent="0.25">
      <c r="A3" s="1" t="s">
        <v>651</v>
      </c>
      <c r="B3" s="1">
        <v>0.4</v>
      </c>
      <c r="C3" s="181"/>
    </row>
    <row r="4" spans="1:8" x14ac:dyDescent="0.3">
      <c r="A4" s="1" t="s">
        <v>652</v>
      </c>
      <c r="B4" s="1">
        <v>16</v>
      </c>
    </row>
    <row r="5" spans="1:8" x14ac:dyDescent="0.3">
      <c r="A5" s="1" t="s">
        <v>569</v>
      </c>
      <c r="B5" s="1">
        <v>16</v>
      </c>
    </row>
    <row r="6" spans="1:8" x14ac:dyDescent="0.3">
      <c r="A6" s="1" t="s">
        <v>629</v>
      </c>
      <c r="B6" s="1">
        <v>15.84</v>
      </c>
    </row>
    <row r="7" spans="1:8" x14ac:dyDescent="0.3">
      <c r="A7" s="1" t="s">
        <v>579</v>
      </c>
      <c r="B7" s="1">
        <v>0.1</v>
      </c>
      <c r="D7" s="1" t="s">
        <v>316</v>
      </c>
      <c r="E7" s="179">
        <f>(B6-B4)/(B3/SQRT(B5))</f>
        <v>-1.6000000000000014</v>
      </c>
    </row>
    <row r="10" spans="1:8" x14ac:dyDescent="0.3">
      <c r="D10" s="1" t="s">
        <v>316</v>
      </c>
      <c r="E10" s="1">
        <f>1.761</f>
        <v>1.7609999999999999</v>
      </c>
    </row>
    <row r="12" spans="1:8" ht="13.95" customHeight="1" x14ac:dyDescent="0.3">
      <c r="C12" s="321" t="s">
        <v>654</v>
      </c>
      <c r="D12" s="321"/>
      <c r="E12" s="321"/>
      <c r="F12" s="321"/>
      <c r="G12" s="321"/>
      <c r="H12" s="321"/>
    </row>
    <row r="13" spans="1:8" ht="14.4" thickBot="1" x14ac:dyDescent="0.35"/>
    <row r="14" spans="1:8" ht="16.2" thickBot="1" x14ac:dyDescent="0.35">
      <c r="A14" s="318" t="s">
        <v>7</v>
      </c>
      <c r="B14" s="319"/>
      <c r="C14" s="319"/>
      <c r="D14" s="319"/>
      <c r="E14" s="319"/>
      <c r="F14" s="319"/>
      <c r="G14" s="319"/>
      <c r="H14" s="320"/>
    </row>
    <row r="16" spans="1:8" x14ac:dyDescent="0.25">
      <c r="A16" s="1" t="s">
        <v>651</v>
      </c>
      <c r="B16" s="1">
        <v>3</v>
      </c>
      <c r="C16" s="181"/>
    </row>
    <row r="17" spans="1:8" x14ac:dyDescent="0.3">
      <c r="A17" s="1" t="s">
        <v>652</v>
      </c>
      <c r="B17" s="1">
        <v>50</v>
      </c>
    </row>
    <row r="18" spans="1:8" x14ac:dyDescent="0.3">
      <c r="A18" s="1" t="s">
        <v>569</v>
      </c>
      <c r="B18" s="1">
        <v>9</v>
      </c>
    </row>
    <row r="19" spans="1:8" x14ac:dyDescent="0.3">
      <c r="A19" s="1" t="s">
        <v>629</v>
      </c>
      <c r="B19" s="1">
        <v>48.2</v>
      </c>
    </row>
    <row r="20" spans="1:8" x14ac:dyDescent="0.3">
      <c r="A20" s="1" t="s">
        <v>579</v>
      </c>
      <c r="B20" s="1">
        <v>0.1</v>
      </c>
      <c r="D20" s="1" t="s">
        <v>316</v>
      </c>
      <c r="E20" s="179">
        <f>(B19-B17)/(B16/SQRT(B18))</f>
        <v>-1.7999999999999972</v>
      </c>
    </row>
    <row r="23" spans="1:8" x14ac:dyDescent="0.3">
      <c r="D23" s="1" t="s">
        <v>316</v>
      </c>
      <c r="E23" s="1">
        <f>1.761</f>
        <v>1.7609999999999999</v>
      </c>
    </row>
    <row r="25" spans="1:8" x14ac:dyDescent="0.3">
      <c r="C25" s="321" t="s">
        <v>653</v>
      </c>
      <c r="D25" s="321"/>
      <c r="E25" s="321"/>
      <c r="F25" s="321"/>
      <c r="G25" s="321"/>
      <c r="H25" s="321"/>
    </row>
    <row r="26" spans="1:8" ht="14.4" thickBot="1" x14ac:dyDescent="0.35"/>
    <row r="27" spans="1:8" ht="16.2" thickBot="1" x14ac:dyDescent="0.35">
      <c r="A27" s="318" t="s">
        <v>11</v>
      </c>
      <c r="B27" s="319"/>
      <c r="C27" s="319"/>
      <c r="D27" s="319"/>
      <c r="E27" s="319"/>
      <c r="F27" s="319"/>
      <c r="G27" s="319"/>
      <c r="H27" s="320"/>
    </row>
    <row r="29" spans="1:8" x14ac:dyDescent="0.25">
      <c r="A29" s="1" t="s">
        <v>651</v>
      </c>
      <c r="B29" s="1">
        <v>0.4</v>
      </c>
      <c r="C29" s="181"/>
      <c r="D29" s="181"/>
    </row>
    <row r="30" spans="1:8" x14ac:dyDescent="0.3">
      <c r="A30" s="1" t="s">
        <v>655</v>
      </c>
      <c r="B30" s="1">
        <v>0.03</v>
      </c>
    </row>
    <row r="31" spans="1:8" x14ac:dyDescent="0.3">
      <c r="A31" s="1" t="s">
        <v>569</v>
      </c>
      <c r="B31" s="1">
        <v>64</v>
      </c>
    </row>
    <row r="32" spans="1:8" ht="18.600000000000001" x14ac:dyDescent="0.3">
      <c r="A32" s="1" t="s">
        <v>629</v>
      </c>
      <c r="B32" s="1">
        <v>3.0700000000000002E-2</v>
      </c>
      <c r="C32" s="1" t="s">
        <v>675</v>
      </c>
      <c r="D32" s="1" t="s">
        <v>316</v>
      </c>
      <c r="E32" s="1">
        <f>NORMSINV(0.025)</f>
        <v>-1.9599639845400538</v>
      </c>
    </row>
    <row r="33" spans="1:8" x14ac:dyDescent="0.3">
      <c r="A33" s="1" t="s">
        <v>579</v>
      </c>
      <c r="B33" s="1">
        <v>0.05</v>
      </c>
    </row>
    <row r="34" spans="1:8" x14ac:dyDescent="0.3">
      <c r="B34" s="1" t="s">
        <v>660</v>
      </c>
      <c r="D34" s="1" t="s">
        <v>316</v>
      </c>
      <c r="E34" s="1">
        <f>(B32-B30)/(B29/SQRT(B31))</f>
        <v>1.4000000000000054E-2</v>
      </c>
      <c r="F34" s="1" t="s">
        <v>656</v>
      </c>
      <c r="G34" s="1">
        <v>1.96</v>
      </c>
    </row>
    <row r="37" spans="1:8" x14ac:dyDescent="0.3">
      <c r="A37" s="231" t="s">
        <v>53</v>
      </c>
      <c r="B37" s="231"/>
      <c r="C37" s="231"/>
      <c r="D37" s="168" t="s">
        <v>54</v>
      </c>
      <c r="E37" s="168" t="s">
        <v>55</v>
      </c>
      <c r="F37" s="231" t="s">
        <v>56</v>
      </c>
      <c r="G37" s="231"/>
      <c r="H37" s="231"/>
    </row>
    <row r="38" spans="1:8" ht="15" customHeight="1" x14ac:dyDescent="0.3">
      <c r="A38" s="322" t="s">
        <v>657</v>
      </c>
      <c r="B38" s="323"/>
      <c r="C38" s="323"/>
      <c r="D38" s="179">
        <f>E34</f>
        <v>1.4000000000000054E-2</v>
      </c>
      <c r="E38" s="180" t="s">
        <v>658</v>
      </c>
      <c r="F38" s="321" t="s">
        <v>659</v>
      </c>
      <c r="G38" s="321"/>
      <c r="H38" s="321"/>
    </row>
    <row r="39" spans="1:8" ht="15" customHeight="1" x14ac:dyDescent="0.3">
      <c r="F39" s="321"/>
      <c r="G39" s="321"/>
      <c r="H39" s="321"/>
    </row>
    <row r="40" spans="1:8" ht="14.4" thickBot="1" x14ac:dyDescent="0.35"/>
    <row r="41" spans="1:8" ht="16.2" thickBot="1" x14ac:dyDescent="0.35">
      <c r="A41" s="318" t="s">
        <v>15</v>
      </c>
      <c r="B41" s="319"/>
      <c r="C41" s="319"/>
      <c r="D41" s="319"/>
      <c r="E41" s="319"/>
      <c r="F41" s="319"/>
      <c r="G41" s="319"/>
      <c r="H41" s="320"/>
    </row>
    <row r="43" spans="1:8" x14ac:dyDescent="0.25">
      <c r="A43" s="1" t="s">
        <v>618</v>
      </c>
      <c r="B43" s="1">
        <v>1.8</v>
      </c>
      <c r="D43" s="181"/>
    </row>
    <row r="44" spans="1:8" x14ac:dyDescent="0.3">
      <c r="A44" s="1" t="s">
        <v>655</v>
      </c>
      <c r="B44" s="1">
        <v>3</v>
      </c>
    </row>
    <row r="45" spans="1:8" x14ac:dyDescent="0.3">
      <c r="A45" s="1" t="s">
        <v>569</v>
      </c>
      <c r="B45" s="1">
        <v>100</v>
      </c>
    </row>
    <row r="46" spans="1:8" x14ac:dyDescent="0.3">
      <c r="A46" s="1" t="s">
        <v>629</v>
      </c>
      <c r="B46" s="1">
        <v>2.4</v>
      </c>
    </row>
    <row r="47" spans="1:8" ht="18.600000000000001" x14ac:dyDescent="0.3">
      <c r="A47" s="1" t="s">
        <v>579</v>
      </c>
      <c r="B47" s="1">
        <v>0.05</v>
      </c>
      <c r="D47" s="1" t="s">
        <v>675</v>
      </c>
      <c r="E47" s="1" t="s">
        <v>316</v>
      </c>
      <c r="F47" s="1">
        <f>NORMSINV(0.025)</f>
        <v>-1.9599639845400538</v>
      </c>
    </row>
    <row r="49" spans="1:8" ht="18.600000000000001" x14ac:dyDescent="0.3">
      <c r="C49" s="1" t="s">
        <v>660</v>
      </c>
      <c r="E49" s="1" t="s">
        <v>316</v>
      </c>
      <c r="F49" s="1">
        <f>(B46-B44)/(B43/SQRT(B45))</f>
        <v>-3.3333333333333339</v>
      </c>
      <c r="G49" s="1" t="s">
        <v>656</v>
      </c>
      <c r="H49" s="1" t="s">
        <v>675</v>
      </c>
    </row>
    <row r="52" spans="1:8" ht="13.95" customHeight="1" x14ac:dyDescent="0.3">
      <c r="A52" s="321" t="s">
        <v>661</v>
      </c>
      <c r="B52" s="321"/>
      <c r="C52" s="321"/>
      <c r="D52" s="321"/>
      <c r="E52" s="321"/>
    </row>
    <row r="53" spans="1:8" ht="14.4" thickBot="1" x14ac:dyDescent="0.35"/>
    <row r="54" spans="1:8" ht="16.2" thickBot="1" x14ac:dyDescent="0.35">
      <c r="A54" s="318" t="s">
        <v>16</v>
      </c>
      <c r="B54" s="319"/>
      <c r="C54" s="319"/>
      <c r="D54" s="319"/>
      <c r="E54" s="319"/>
      <c r="F54" s="319"/>
      <c r="G54" s="319"/>
      <c r="H54" s="320"/>
    </row>
    <row r="56" spans="1:8" x14ac:dyDescent="0.25">
      <c r="A56" s="1" t="s">
        <v>618</v>
      </c>
      <c r="B56" s="1">
        <v>1.32</v>
      </c>
      <c r="D56" s="181"/>
    </row>
    <row r="57" spans="1:8" x14ac:dyDescent="0.3">
      <c r="A57" s="1" t="s">
        <v>655</v>
      </c>
      <c r="B57" s="1">
        <v>4</v>
      </c>
    </row>
    <row r="58" spans="1:8" x14ac:dyDescent="0.3">
      <c r="A58" s="1" t="s">
        <v>569</v>
      </c>
      <c r="B58" s="1">
        <v>1562</v>
      </c>
    </row>
    <row r="59" spans="1:8" x14ac:dyDescent="0.3">
      <c r="A59" s="1" t="s">
        <v>629</v>
      </c>
      <c r="B59" s="1">
        <v>4.2699999999999996</v>
      </c>
    </row>
    <row r="60" spans="1:8" ht="18.600000000000001" x14ac:dyDescent="0.3">
      <c r="A60" s="1" t="s">
        <v>579</v>
      </c>
      <c r="B60" s="1">
        <v>0.01</v>
      </c>
      <c r="D60" s="1" t="s">
        <v>675</v>
      </c>
      <c r="E60" s="1" t="s">
        <v>316</v>
      </c>
      <c r="F60" s="1">
        <f>NORMSINV(0.005)</f>
        <v>-2.5758293035488999</v>
      </c>
    </row>
    <row r="62" spans="1:8" ht="18.600000000000001" x14ac:dyDescent="0.3">
      <c r="C62" s="1" t="s">
        <v>660</v>
      </c>
      <c r="E62" s="1" t="s">
        <v>316</v>
      </c>
      <c r="F62" s="1">
        <f>(B59-B57)/(B56/SQRT(B58))</f>
        <v>8.0840752549238761</v>
      </c>
      <c r="G62" s="1" t="s">
        <v>662</v>
      </c>
      <c r="H62" s="1" t="s">
        <v>675</v>
      </c>
    </row>
    <row r="65" spans="1:8" x14ac:dyDescent="0.3">
      <c r="A65" s="321" t="s">
        <v>813</v>
      </c>
      <c r="B65" s="321"/>
      <c r="C65" s="321"/>
      <c r="D65" s="321"/>
      <c r="E65" s="321"/>
    </row>
    <row r="66" spans="1:8" ht="14.4" thickBot="1" x14ac:dyDescent="0.35"/>
    <row r="67" spans="1:8" ht="16.2" thickBot="1" x14ac:dyDescent="0.35">
      <c r="A67" s="318" t="s">
        <v>19</v>
      </c>
      <c r="B67" s="319"/>
      <c r="C67" s="319"/>
      <c r="D67" s="319"/>
      <c r="E67" s="319"/>
      <c r="F67" s="319"/>
      <c r="G67" s="319"/>
      <c r="H67" s="320"/>
    </row>
    <row r="69" spans="1:8" x14ac:dyDescent="0.25">
      <c r="A69" s="1" t="s">
        <v>618</v>
      </c>
      <c r="B69" s="1">
        <v>0.20100000000000001</v>
      </c>
      <c r="D69" s="181"/>
    </row>
    <row r="70" spans="1:8" x14ac:dyDescent="0.3">
      <c r="A70" s="1" t="s">
        <v>655</v>
      </c>
      <c r="B70" s="1">
        <v>0</v>
      </c>
    </row>
    <row r="71" spans="1:8" x14ac:dyDescent="0.3">
      <c r="A71" s="1" t="s">
        <v>569</v>
      </c>
      <c r="B71" s="1">
        <v>76</v>
      </c>
    </row>
    <row r="72" spans="1:8" x14ac:dyDescent="0.3">
      <c r="A72" s="1" t="s">
        <v>629</v>
      </c>
      <c r="B72" s="1">
        <v>7.8E-2</v>
      </c>
    </row>
    <row r="73" spans="1:8" ht="18.600000000000001" x14ac:dyDescent="0.3">
      <c r="A73" s="1" t="s">
        <v>579</v>
      </c>
      <c r="B73" s="1">
        <v>8.0000000000000004E-4</v>
      </c>
      <c r="D73" s="1" t="s">
        <v>675</v>
      </c>
      <c r="E73" s="1" t="s">
        <v>316</v>
      </c>
      <c r="F73" s="1">
        <f>NORMSINV(B73/2)</f>
        <v>-3.3527947805048282</v>
      </c>
    </row>
    <row r="75" spans="1:8" ht="18.600000000000001" x14ac:dyDescent="0.3">
      <c r="C75" s="1" t="s">
        <v>660</v>
      </c>
      <c r="E75" s="1" t="s">
        <v>316</v>
      </c>
      <c r="F75" s="1">
        <f>(B72-B70)/(B69/SQRT(B71))</f>
        <v>3.3830260457330601</v>
      </c>
      <c r="G75" s="1" t="s">
        <v>662</v>
      </c>
      <c r="H75" s="1" t="s">
        <v>675</v>
      </c>
    </row>
    <row r="78" spans="1:8" ht="13.95" customHeight="1" x14ac:dyDescent="0.3">
      <c r="A78" s="321" t="s">
        <v>663</v>
      </c>
      <c r="B78" s="321"/>
      <c r="C78" s="321"/>
      <c r="D78" s="321"/>
      <c r="E78" s="321"/>
      <c r="F78" s="321"/>
      <c r="G78" s="321"/>
      <c r="H78" s="321"/>
    </row>
    <row r="79" spans="1:8" ht="14.4" thickBot="1" x14ac:dyDescent="0.35"/>
    <row r="80" spans="1:8" ht="16.2" thickBot="1" x14ac:dyDescent="0.35">
      <c r="A80" s="318" t="s">
        <v>22</v>
      </c>
      <c r="B80" s="319"/>
      <c r="C80" s="319"/>
      <c r="D80" s="319"/>
      <c r="E80" s="319"/>
      <c r="F80" s="319"/>
      <c r="G80" s="319"/>
      <c r="H80" s="320"/>
    </row>
    <row r="537" spans="1:8" ht="14.4" thickBot="1" x14ac:dyDescent="0.35"/>
    <row r="538" spans="1:8" ht="16.2" thickBot="1" x14ac:dyDescent="0.35">
      <c r="A538" s="318" t="s">
        <v>49</v>
      </c>
      <c r="B538" s="319"/>
      <c r="C538" s="319"/>
      <c r="D538" s="319"/>
      <c r="E538" s="319"/>
      <c r="F538" s="319"/>
      <c r="G538" s="319"/>
      <c r="H538" s="320"/>
    </row>
    <row r="539" spans="1:8" ht="27.6" x14ac:dyDescent="0.3">
      <c r="E539" s="1" t="s">
        <v>664</v>
      </c>
    </row>
    <row r="540" spans="1:8" ht="16.8" x14ac:dyDescent="0.3">
      <c r="A540" s="1" t="s">
        <v>665</v>
      </c>
      <c r="B540" s="1">
        <f>F549</f>
        <v>933.98214285714289</v>
      </c>
      <c r="D540" s="1">
        <v>1</v>
      </c>
      <c r="E540" s="1">
        <v>618</v>
      </c>
      <c r="F540" s="1">
        <f>(E540-$E$548)^2</f>
        <v>2.640625</v>
      </c>
    </row>
    <row r="541" spans="1:8" ht="16.8" x14ac:dyDescent="0.3">
      <c r="A541" s="1" t="s">
        <v>665</v>
      </c>
      <c r="B541" s="1">
        <v>500</v>
      </c>
      <c r="D541" s="1">
        <v>2</v>
      </c>
      <c r="E541" s="1">
        <v>660</v>
      </c>
      <c r="F541" s="1">
        <f t="shared" ref="F541:F547" si="0">(E541-$E$548)^2</f>
        <v>1903.140625</v>
      </c>
    </row>
    <row r="542" spans="1:8" x14ac:dyDescent="0.3">
      <c r="A542" s="1" t="s">
        <v>569</v>
      </c>
      <c r="B542" s="1">
        <v>8</v>
      </c>
      <c r="D542" s="1">
        <v>3</v>
      </c>
      <c r="E542" s="1">
        <v>638</v>
      </c>
      <c r="F542" s="1">
        <f t="shared" si="0"/>
        <v>467.640625</v>
      </c>
    </row>
    <row r="543" spans="1:8" x14ac:dyDescent="0.3">
      <c r="A543" s="1" t="s">
        <v>629</v>
      </c>
      <c r="B543" s="1">
        <f>E548</f>
        <v>616.375</v>
      </c>
      <c r="D543" s="1">
        <v>4</v>
      </c>
      <c r="E543" s="1">
        <v>625</v>
      </c>
      <c r="F543" s="1">
        <f t="shared" si="0"/>
        <v>74.390625</v>
      </c>
    </row>
    <row r="544" spans="1:8" x14ac:dyDescent="0.3">
      <c r="A544" s="1" t="s">
        <v>579</v>
      </c>
      <c r="B544" s="1">
        <v>0.1</v>
      </c>
      <c r="D544" s="1">
        <v>5</v>
      </c>
      <c r="E544" s="1">
        <v>571</v>
      </c>
      <c r="F544" s="1">
        <f t="shared" si="0"/>
        <v>2058.890625</v>
      </c>
    </row>
    <row r="545" spans="2:6" x14ac:dyDescent="0.3">
      <c r="D545" s="1">
        <v>6</v>
      </c>
      <c r="E545" s="1">
        <v>598</v>
      </c>
      <c r="F545" s="1">
        <f t="shared" si="0"/>
        <v>337.640625</v>
      </c>
    </row>
    <row r="546" spans="2:6" x14ac:dyDescent="0.3">
      <c r="D546" s="1">
        <v>7</v>
      </c>
      <c r="E546" s="1">
        <v>639</v>
      </c>
      <c r="F546" s="1">
        <f t="shared" si="0"/>
        <v>511.890625</v>
      </c>
    </row>
    <row r="547" spans="2:6" x14ac:dyDescent="0.3">
      <c r="D547" s="1">
        <v>8</v>
      </c>
      <c r="E547" s="1">
        <v>582</v>
      </c>
      <c r="F547" s="1">
        <f t="shared" si="0"/>
        <v>1181.640625</v>
      </c>
    </row>
    <row r="548" spans="2:6" x14ac:dyDescent="0.3">
      <c r="D548" s="1" t="s">
        <v>3</v>
      </c>
      <c r="E548" s="1">
        <f>AVERAGE(E540:E547)</f>
        <v>616.375</v>
      </c>
    </row>
    <row r="549" spans="2:6" x14ac:dyDescent="0.3">
      <c r="D549" s="1" t="s">
        <v>134</v>
      </c>
      <c r="E549" s="1">
        <f>VAR(E540:E547)</f>
        <v>933.98214285714289</v>
      </c>
      <c r="F549" s="1">
        <f>SUM(F540:F547)/7</f>
        <v>933.98214285714289</v>
      </c>
    </row>
    <row r="550" spans="2:6" x14ac:dyDescent="0.3">
      <c r="D550" s="1" t="s">
        <v>585</v>
      </c>
      <c r="E550" s="1">
        <f>STDEV(E540:E547)</f>
        <v>30.561121426694129</v>
      </c>
      <c r="F550" s="1">
        <f>SQRT(F549)</f>
        <v>30.561121426694129</v>
      </c>
    </row>
    <row r="552" spans="2:6" x14ac:dyDescent="0.25">
      <c r="B552" s="181"/>
    </row>
    <row r="556" spans="2:6" x14ac:dyDescent="0.3">
      <c r="B556" s="1" t="s">
        <v>316</v>
      </c>
      <c r="C556" s="1">
        <f>CHIINV(0.05,7)</f>
        <v>14.067140449340167</v>
      </c>
    </row>
    <row r="558" spans="2:6" x14ac:dyDescent="0.3">
      <c r="B558" s="1" t="s">
        <v>316</v>
      </c>
      <c r="C558" s="1">
        <f>7*B540/B541</f>
        <v>13.075749999999999</v>
      </c>
      <c r="D558" s="1" t="s">
        <v>656</v>
      </c>
    </row>
    <row r="561" spans="1:8" x14ac:dyDescent="0.3">
      <c r="A561" s="321" t="s">
        <v>666</v>
      </c>
      <c r="B561" s="321"/>
      <c r="C561" s="321"/>
      <c r="D561" s="321"/>
      <c r="E561" s="321"/>
    </row>
    <row r="562" spans="1:8" ht="14.4" thickBot="1" x14ac:dyDescent="0.35"/>
    <row r="563" spans="1:8" ht="16.2" thickBot="1" x14ac:dyDescent="0.35">
      <c r="A563" s="318" t="s">
        <v>52</v>
      </c>
      <c r="B563" s="319"/>
      <c r="C563" s="319"/>
      <c r="D563" s="319"/>
      <c r="E563" s="319"/>
      <c r="F563" s="319"/>
      <c r="G563" s="319"/>
      <c r="H563" s="320"/>
    </row>
    <row r="564" spans="1:8" ht="27.6" x14ac:dyDescent="0.3">
      <c r="E564" s="1" t="s">
        <v>664</v>
      </c>
    </row>
    <row r="565" spans="1:8" ht="16.8" x14ac:dyDescent="0.3">
      <c r="A565" s="1" t="s">
        <v>665</v>
      </c>
      <c r="B565" s="1">
        <f>F576</f>
        <v>5.155555555555555</v>
      </c>
      <c r="D565" s="1">
        <v>1</v>
      </c>
      <c r="E565" s="1">
        <v>226</v>
      </c>
      <c r="F565" s="1">
        <f>(E565-$E$575)^2</f>
        <v>2.5599999999999818</v>
      </c>
    </row>
    <row r="566" spans="1:8" ht="16.8" x14ac:dyDescent="0.3">
      <c r="A566" s="1" t="s">
        <v>665</v>
      </c>
      <c r="B566" s="1">
        <v>2.25</v>
      </c>
      <c r="D566" s="1">
        <v>2</v>
      </c>
      <c r="E566" s="1">
        <v>226</v>
      </c>
      <c r="F566" s="1">
        <f t="shared" ref="F566:F574" si="1">(E566-$E$575)^2</f>
        <v>2.5599999999999818</v>
      </c>
    </row>
    <row r="567" spans="1:8" x14ac:dyDescent="0.3">
      <c r="A567" s="1" t="s">
        <v>569</v>
      </c>
      <c r="B567" s="1">
        <v>10</v>
      </c>
      <c r="D567" s="1">
        <v>3</v>
      </c>
      <c r="E567" s="1">
        <v>232</v>
      </c>
      <c r="F567" s="1">
        <f t="shared" si="1"/>
        <v>19.360000000000049</v>
      </c>
    </row>
    <row r="568" spans="1:8" x14ac:dyDescent="0.3">
      <c r="A568" s="1" t="s">
        <v>629</v>
      </c>
      <c r="B568" s="1">
        <f>E575</f>
        <v>227.6</v>
      </c>
      <c r="D568" s="1">
        <v>4</v>
      </c>
      <c r="E568" s="1">
        <v>227</v>
      </c>
      <c r="F568" s="1">
        <f t="shared" si="1"/>
        <v>0.35999999999999316</v>
      </c>
    </row>
    <row r="569" spans="1:8" x14ac:dyDescent="0.3">
      <c r="A569" s="1" t="s">
        <v>579</v>
      </c>
      <c r="B569" s="1">
        <v>0.05</v>
      </c>
      <c r="D569" s="1">
        <v>5</v>
      </c>
      <c r="E569" s="1">
        <v>225</v>
      </c>
      <c r="F569" s="1">
        <f t="shared" si="1"/>
        <v>6.7599999999999705</v>
      </c>
    </row>
    <row r="570" spans="1:8" x14ac:dyDescent="0.3">
      <c r="D570" s="1">
        <v>6</v>
      </c>
      <c r="E570" s="1">
        <v>228</v>
      </c>
      <c r="F570" s="1">
        <f t="shared" si="1"/>
        <v>0.16000000000000456</v>
      </c>
    </row>
    <row r="571" spans="1:8" x14ac:dyDescent="0.3">
      <c r="D571" s="1">
        <v>7</v>
      </c>
      <c r="E571" s="1">
        <v>225</v>
      </c>
      <c r="F571" s="1">
        <f t="shared" si="1"/>
        <v>6.7599999999999705</v>
      </c>
    </row>
    <row r="572" spans="1:8" x14ac:dyDescent="0.3">
      <c r="D572" s="1">
        <v>8</v>
      </c>
      <c r="E572" s="1">
        <v>228</v>
      </c>
      <c r="F572" s="1">
        <f t="shared" si="1"/>
        <v>0.16000000000000456</v>
      </c>
    </row>
    <row r="573" spans="1:8" x14ac:dyDescent="0.3">
      <c r="D573" s="1">
        <v>9</v>
      </c>
      <c r="E573" s="1">
        <v>229</v>
      </c>
      <c r="F573" s="1">
        <f t="shared" si="1"/>
        <v>1.960000000000016</v>
      </c>
    </row>
    <row r="574" spans="1:8" x14ac:dyDescent="0.3">
      <c r="D574" s="1">
        <v>10</v>
      </c>
      <c r="E574" s="1">
        <v>230</v>
      </c>
      <c r="F574" s="1">
        <f t="shared" si="1"/>
        <v>5.7600000000000273</v>
      </c>
    </row>
    <row r="575" spans="1:8" x14ac:dyDescent="0.3">
      <c r="D575" s="1" t="s">
        <v>3</v>
      </c>
      <c r="E575" s="1">
        <f>AVERAGE(E565:E574)</f>
        <v>227.6</v>
      </c>
    </row>
    <row r="576" spans="1:8" x14ac:dyDescent="0.3">
      <c r="D576" s="1" t="s">
        <v>134</v>
      </c>
      <c r="E576" s="1">
        <f>VAR(E565:E574)</f>
        <v>5.155555555555555</v>
      </c>
      <c r="F576" s="1">
        <f>SUM(F565:F574)/9</f>
        <v>5.155555555555555</v>
      </c>
    </row>
    <row r="577" spans="1:8" x14ac:dyDescent="0.25">
      <c r="B577" s="181"/>
      <c r="D577" s="1" t="s">
        <v>585</v>
      </c>
      <c r="E577" s="1">
        <f>STDEV(E565:E574)</f>
        <v>2.2705848487901865</v>
      </c>
      <c r="F577" s="1">
        <f>SQRT(F576)</f>
        <v>2.2705848487901865</v>
      </c>
    </row>
    <row r="582" spans="1:8" x14ac:dyDescent="0.3">
      <c r="B582" s="1" t="s">
        <v>316</v>
      </c>
      <c r="C582" s="1">
        <f>CHIINV(0.025,9)</f>
        <v>19.022767798641635</v>
      </c>
    </row>
    <row r="584" spans="1:8" x14ac:dyDescent="0.3">
      <c r="B584" s="1" t="s">
        <v>316</v>
      </c>
      <c r="C584" s="1">
        <f>9*B565/B566</f>
        <v>20.62222222222222</v>
      </c>
      <c r="D584" s="1" t="s">
        <v>662</v>
      </c>
    </row>
    <row r="587" spans="1:8" x14ac:dyDescent="0.3">
      <c r="A587" s="168" t="s">
        <v>53</v>
      </c>
      <c r="B587" s="231" t="s">
        <v>54</v>
      </c>
      <c r="C587" s="231"/>
      <c r="D587" s="231"/>
      <c r="E587" s="231"/>
      <c r="F587" s="231"/>
    </row>
    <row r="588" spans="1:8" ht="13.95" customHeight="1" x14ac:dyDescent="0.3">
      <c r="A588" s="179">
        <f>F576</f>
        <v>5.155555555555555</v>
      </c>
      <c r="B588" s="322" t="s">
        <v>667</v>
      </c>
      <c r="C588" s="323"/>
      <c r="D588" s="323"/>
      <c r="E588" s="323"/>
      <c r="F588" s="324"/>
    </row>
    <row r="589" spans="1:8" ht="14.4" thickBot="1" x14ac:dyDescent="0.35"/>
    <row r="590" spans="1:8" ht="16.2" thickBot="1" x14ac:dyDescent="0.35">
      <c r="A590" s="318" t="s">
        <v>61</v>
      </c>
      <c r="B590" s="319"/>
      <c r="C590" s="319"/>
      <c r="D590" s="319"/>
      <c r="E590" s="319"/>
      <c r="F590" s="319"/>
      <c r="G590" s="319"/>
      <c r="H590" s="320"/>
    </row>
    <row r="592" spans="1:8" ht="16.8" x14ac:dyDescent="0.3">
      <c r="A592" s="1" t="s">
        <v>665</v>
      </c>
      <c r="B592" s="1">
        <v>400</v>
      </c>
    </row>
    <row r="593" spans="1:8" ht="16.8" x14ac:dyDescent="0.3">
      <c r="A593" s="1" t="s">
        <v>665</v>
      </c>
      <c r="B593" s="1">
        <v>300</v>
      </c>
    </row>
    <row r="594" spans="1:8" x14ac:dyDescent="0.3">
      <c r="A594" s="1" t="s">
        <v>569</v>
      </c>
      <c r="B594" s="1">
        <v>30</v>
      </c>
    </row>
    <row r="595" spans="1:8" x14ac:dyDescent="0.3">
      <c r="A595" s="1" t="s">
        <v>629</v>
      </c>
    </row>
    <row r="596" spans="1:8" x14ac:dyDescent="0.3">
      <c r="A596" s="1" t="s">
        <v>579</v>
      </c>
      <c r="B596" s="1">
        <f>0.2</f>
        <v>0.2</v>
      </c>
    </row>
    <row r="601" spans="1:8" x14ac:dyDescent="0.3">
      <c r="B601" s="1" t="s">
        <v>316</v>
      </c>
      <c r="C601" s="1">
        <f>CHIINV(0.05,29)</f>
        <v>42.556967804292682</v>
      </c>
    </row>
    <row r="603" spans="1:8" x14ac:dyDescent="0.3">
      <c r="B603" s="1" t="s">
        <v>316</v>
      </c>
      <c r="C603" s="1">
        <f>29*B592/B593</f>
        <v>38.666666666666664</v>
      </c>
      <c r="D603" s="1" t="s">
        <v>656</v>
      </c>
    </row>
    <row r="604" spans="1:8" x14ac:dyDescent="0.25">
      <c r="B604" s="181"/>
    </row>
    <row r="606" spans="1:8" ht="13.95" customHeight="1" x14ac:dyDescent="0.3">
      <c r="A606" s="231" t="s">
        <v>668</v>
      </c>
      <c r="B606" s="231"/>
      <c r="C606" s="231"/>
      <c r="D606" s="231"/>
      <c r="E606" s="231"/>
      <c r="F606" s="231"/>
      <c r="G606" s="231"/>
      <c r="H606" s="231"/>
    </row>
    <row r="607" spans="1:8" ht="14.4" thickBot="1" x14ac:dyDescent="0.35"/>
    <row r="608" spans="1:8" ht="16.2" thickBot="1" x14ac:dyDescent="0.35">
      <c r="A608" s="318" t="s">
        <v>80</v>
      </c>
      <c r="B608" s="319"/>
      <c r="C608" s="319"/>
      <c r="D608" s="319"/>
      <c r="E608" s="319"/>
      <c r="F608" s="319"/>
      <c r="G608" s="319"/>
      <c r="H608" s="320"/>
    </row>
    <row r="610" spans="1:8" ht="14.4" thickBot="1" x14ac:dyDescent="0.35"/>
    <row r="611" spans="1:8" ht="16.2" thickBot="1" x14ac:dyDescent="0.35">
      <c r="A611" s="318" t="s">
        <v>81</v>
      </c>
      <c r="B611" s="319"/>
      <c r="C611" s="319"/>
      <c r="D611" s="319"/>
      <c r="E611" s="319"/>
      <c r="F611" s="319"/>
      <c r="G611" s="319"/>
      <c r="H611" s="320"/>
    </row>
    <row r="613" spans="1:8" ht="16.8" x14ac:dyDescent="0.3">
      <c r="A613" s="1" t="s">
        <v>665</v>
      </c>
      <c r="B613" s="1">
        <f>15.3^2</f>
        <v>234.09000000000003</v>
      </c>
    </row>
    <row r="614" spans="1:8" ht="16.8" x14ac:dyDescent="0.3">
      <c r="A614" s="1" t="s">
        <v>665</v>
      </c>
      <c r="B614" s="1">
        <f>18.2^2</f>
        <v>331.23999999999995</v>
      </c>
    </row>
    <row r="615" spans="1:8" x14ac:dyDescent="0.3">
      <c r="A615" s="1" t="s">
        <v>569</v>
      </c>
      <c r="B615" s="1">
        <v>25</v>
      </c>
    </row>
    <row r="616" spans="1:8" x14ac:dyDescent="0.3">
      <c r="A616" s="1" t="s">
        <v>629</v>
      </c>
    </row>
    <row r="617" spans="1:8" x14ac:dyDescent="0.3">
      <c r="A617" s="1" t="s">
        <v>579</v>
      </c>
      <c r="B617" s="1">
        <v>0.1</v>
      </c>
    </row>
    <row r="622" spans="1:8" x14ac:dyDescent="0.3">
      <c r="B622" s="1" t="s">
        <v>316</v>
      </c>
      <c r="C622" s="1">
        <f>CHIINV((B617/2),(B615-1))</f>
        <v>36.415028501807313</v>
      </c>
    </row>
    <row r="624" spans="1:8" x14ac:dyDescent="0.3">
      <c r="B624" s="1" t="s">
        <v>316</v>
      </c>
      <c r="C624" s="1">
        <f>(B615-1)*B613/B614</f>
        <v>16.96099504890714</v>
      </c>
      <c r="D624" s="1" t="s">
        <v>656</v>
      </c>
    </row>
    <row r="625" spans="1:8" x14ac:dyDescent="0.25">
      <c r="B625" s="181"/>
    </row>
    <row r="627" spans="1:8" ht="13.95" customHeight="1" x14ac:dyDescent="0.3">
      <c r="A627" s="321" t="s">
        <v>668</v>
      </c>
      <c r="B627" s="321"/>
      <c r="C627" s="321"/>
      <c r="D627" s="321"/>
      <c r="E627" s="321"/>
      <c r="F627" s="321"/>
      <c r="G627" s="321"/>
      <c r="H627" s="321"/>
    </row>
    <row r="628" spans="1:8" ht="14.4" thickBot="1" x14ac:dyDescent="0.35"/>
    <row r="629" spans="1:8" ht="16.2" thickBot="1" x14ac:dyDescent="0.35">
      <c r="A629" s="318" t="s">
        <v>90</v>
      </c>
      <c r="B629" s="319"/>
      <c r="C629" s="319"/>
      <c r="D629" s="319"/>
      <c r="E629" s="319"/>
      <c r="F629" s="319"/>
      <c r="G629" s="319"/>
      <c r="H629" s="320"/>
    </row>
    <row r="632" spans="1:8" ht="14.4" thickBot="1" x14ac:dyDescent="0.35"/>
    <row r="633" spans="1:8" ht="16.2" thickBot="1" x14ac:dyDescent="0.35">
      <c r="A633" s="318" t="s">
        <v>100</v>
      </c>
      <c r="B633" s="319"/>
      <c r="C633" s="319"/>
      <c r="D633" s="319"/>
      <c r="E633" s="319"/>
      <c r="F633" s="319"/>
      <c r="G633" s="319"/>
      <c r="H633" s="320"/>
    </row>
    <row r="635" spans="1:8" x14ac:dyDescent="0.25">
      <c r="A635" s="1" t="s">
        <v>241</v>
      </c>
      <c r="B635" s="179">
        <v>0.17299999999999999</v>
      </c>
      <c r="D635" s="181"/>
    </row>
    <row r="636" spans="1:8" x14ac:dyDescent="0.3">
      <c r="A636" s="1" t="s">
        <v>669</v>
      </c>
      <c r="B636" s="1">
        <v>0.25</v>
      </c>
    </row>
    <row r="637" spans="1:8" x14ac:dyDescent="0.3">
      <c r="A637" s="1" t="s">
        <v>569</v>
      </c>
      <c r="B637" s="1">
        <v>998</v>
      </c>
    </row>
    <row r="638" spans="1:8" x14ac:dyDescent="0.3">
      <c r="A638" s="1" t="s">
        <v>579</v>
      </c>
      <c r="B638" s="1">
        <v>0.05</v>
      </c>
    </row>
    <row r="643" spans="1:8" ht="16.2" x14ac:dyDescent="0.3">
      <c r="A643" s="1" t="s">
        <v>676</v>
      </c>
      <c r="B643" s="1" t="s">
        <v>316</v>
      </c>
      <c r="C643" s="1">
        <f>NORMSINV(B638)</f>
        <v>-1.6448536269514726</v>
      </c>
    </row>
    <row r="645" spans="1:8" ht="16.2" x14ac:dyDescent="0.3">
      <c r="B645" s="1" t="s">
        <v>316</v>
      </c>
      <c r="C645" s="1">
        <f>(B635-B636)/SQRT(B636*(1-B636)/B637)</f>
        <v>-5.6176588243383625</v>
      </c>
      <c r="D645" s="1" t="s">
        <v>656</v>
      </c>
      <c r="E645" s="1" t="s">
        <v>676</v>
      </c>
    </row>
    <row r="648" spans="1:8" x14ac:dyDescent="0.3">
      <c r="A648" s="321" t="s">
        <v>670</v>
      </c>
      <c r="B648" s="321"/>
      <c r="C648" s="321"/>
      <c r="D648" s="321"/>
      <c r="E648" s="321"/>
      <c r="F648" s="321"/>
      <c r="G648" s="321"/>
      <c r="H648" s="321"/>
    </row>
    <row r="649" spans="1:8" ht="14.4" thickBot="1" x14ac:dyDescent="0.35"/>
    <row r="650" spans="1:8" ht="16.2" thickBot="1" x14ac:dyDescent="0.35">
      <c r="A650" s="318" t="s">
        <v>208</v>
      </c>
      <c r="B650" s="319"/>
      <c r="C650" s="319"/>
      <c r="D650" s="319"/>
      <c r="E650" s="319"/>
      <c r="F650" s="319"/>
      <c r="G650" s="319"/>
      <c r="H650" s="320"/>
    </row>
    <row r="652" spans="1:8" x14ac:dyDescent="0.25">
      <c r="A652" s="1" t="s">
        <v>241</v>
      </c>
      <c r="B652" s="179">
        <f>72/B654</f>
        <v>0.45</v>
      </c>
      <c r="D652" s="181"/>
    </row>
    <row r="653" spans="1:8" x14ac:dyDescent="0.3">
      <c r="A653" s="1" t="s">
        <v>669</v>
      </c>
      <c r="B653" s="1">
        <v>0.5</v>
      </c>
    </row>
    <row r="654" spans="1:8" x14ac:dyDescent="0.3">
      <c r="A654" s="1" t="s">
        <v>569</v>
      </c>
      <c r="B654" s="1">
        <v>160</v>
      </c>
    </row>
    <row r="655" spans="1:8" x14ac:dyDescent="0.3">
      <c r="A655" s="1" t="s">
        <v>579</v>
      </c>
      <c r="B655" s="1">
        <f>0.1</f>
        <v>0.1</v>
      </c>
    </row>
    <row r="660" spans="1:8" ht="16.2" x14ac:dyDescent="0.3">
      <c r="A660" s="1" t="s">
        <v>676</v>
      </c>
      <c r="B660" s="1" t="s">
        <v>316</v>
      </c>
      <c r="C660" s="1">
        <f>NORMSINV(B655)</f>
        <v>-1.2815515655446006</v>
      </c>
    </row>
    <row r="662" spans="1:8" ht="16.2" x14ac:dyDescent="0.3">
      <c r="B662" s="1" t="s">
        <v>316</v>
      </c>
      <c r="C662" s="179">
        <f>(B652-B653)/SQRT(B653*(1-B653)/B654)</f>
        <v>-1.2649110640673513</v>
      </c>
      <c r="D662" s="1" t="s">
        <v>656</v>
      </c>
      <c r="E662" s="1" t="s">
        <v>676</v>
      </c>
    </row>
    <row r="665" spans="1:8" x14ac:dyDescent="0.3">
      <c r="A665" s="321" t="s">
        <v>674</v>
      </c>
      <c r="B665" s="321"/>
      <c r="C665" s="321"/>
      <c r="D665" s="321"/>
      <c r="E665" s="321"/>
      <c r="F665" s="321"/>
      <c r="G665" s="321"/>
      <c r="H665" s="321"/>
    </row>
    <row r="666" spans="1:8" ht="14.4" thickBot="1" x14ac:dyDescent="0.35"/>
    <row r="667" spans="1:8" ht="16.2" thickBot="1" x14ac:dyDescent="0.35">
      <c r="A667" s="318" t="s">
        <v>174</v>
      </c>
      <c r="B667" s="319"/>
      <c r="C667" s="319"/>
      <c r="D667" s="319"/>
      <c r="E667" s="319"/>
      <c r="F667" s="319"/>
      <c r="G667" s="319"/>
      <c r="H667" s="320"/>
    </row>
    <row r="669" spans="1:8" x14ac:dyDescent="0.25">
      <c r="A669" s="1" t="s">
        <v>241</v>
      </c>
      <c r="B669" s="179">
        <f>104/B671</f>
        <v>0.52261306532663321</v>
      </c>
      <c r="D669" s="181"/>
    </row>
    <row r="670" spans="1:8" x14ac:dyDescent="0.3">
      <c r="A670" s="1" t="s">
        <v>669</v>
      </c>
      <c r="B670" s="1">
        <v>0.5</v>
      </c>
    </row>
    <row r="671" spans="1:8" x14ac:dyDescent="0.3">
      <c r="A671" s="1" t="s">
        <v>569</v>
      </c>
      <c r="B671" s="1">
        <v>199</v>
      </c>
    </row>
    <row r="672" spans="1:8" x14ac:dyDescent="0.3">
      <c r="A672" s="1" t="s">
        <v>579</v>
      </c>
      <c r="B672" s="1">
        <v>0.26</v>
      </c>
    </row>
    <row r="677" spans="1:8" ht="16.2" x14ac:dyDescent="0.3">
      <c r="A677" s="1" t="s">
        <v>676</v>
      </c>
      <c r="B677" s="1" t="s">
        <v>316</v>
      </c>
      <c r="C677" s="1">
        <f>NORMSINV(B672)</f>
        <v>-0.64334540539291696</v>
      </c>
    </row>
    <row r="679" spans="1:8" ht="16.2" x14ac:dyDescent="0.3">
      <c r="B679" s="1" t="s">
        <v>316</v>
      </c>
      <c r="C679" s="179">
        <f>(B669-B670)/SQRT(B670*(1-B670)/B671)</f>
        <v>0.63799308450750347</v>
      </c>
      <c r="D679" s="1" t="s">
        <v>656</v>
      </c>
      <c r="E679" s="1" t="s">
        <v>676</v>
      </c>
    </row>
    <row r="682" spans="1:8" x14ac:dyDescent="0.3">
      <c r="A682" s="321" t="s">
        <v>671</v>
      </c>
      <c r="B682" s="321"/>
      <c r="C682" s="321"/>
      <c r="D682" s="321"/>
      <c r="E682" s="321"/>
      <c r="F682" s="321"/>
      <c r="G682" s="321"/>
      <c r="H682" s="321"/>
    </row>
    <row r="683" spans="1:8" ht="14.4" thickBot="1" x14ac:dyDescent="0.35"/>
    <row r="684" spans="1:8" ht="16.2" thickBot="1" x14ac:dyDescent="0.35">
      <c r="A684" s="318" t="s">
        <v>209</v>
      </c>
      <c r="B684" s="319"/>
      <c r="C684" s="319"/>
      <c r="D684" s="319"/>
      <c r="E684" s="319"/>
      <c r="F684" s="319"/>
      <c r="G684" s="319"/>
      <c r="H684" s="320"/>
    </row>
    <row r="686" spans="1:8" x14ac:dyDescent="0.25">
      <c r="A686" s="1" t="s">
        <v>241</v>
      </c>
      <c r="B686" s="179">
        <f>28/B688</f>
        <v>0.56000000000000005</v>
      </c>
      <c r="D686" s="181"/>
    </row>
    <row r="687" spans="1:8" x14ac:dyDescent="0.3">
      <c r="A687" s="1" t="s">
        <v>669</v>
      </c>
      <c r="B687" s="1">
        <v>0.5</v>
      </c>
    </row>
    <row r="688" spans="1:8" x14ac:dyDescent="0.3">
      <c r="A688" s="1" t="s">
        <v>569</v>
      </c>
      <c r="B688" s="1">
        <v>50</v>
      </c>
    </row>
    <row r="689" spans="1:8" x14ac:dyDescent="0.3">
      <c r="A689" s="1" t="s">
        <v>579</v>
      </c>
      <c r="B689" s="1">
        <v>0.19</v>
      </c>
    </row>
    <row r="694" spans="1:8" ht="16.2" x14ac:dyDescent="0.3">
      <c r="A694" s="1" t="s">
        <v>676</v>
      </c>
      <c r="B694" s="1" t="s">
        <v>316</v>
      </c>
      <c r="C694" s="1">
        <f>NORMSINV(B689)</f>
        <v>-0.87789629505122846</v>
      </c>
    </row>
    <row r="696" spans="1:8" ht="16.2" x14ac:dyDescent="0.3">
      <c r="B696" s="1" t="s">
        <v>316</v>
      </c>
      <c r="C696" s="179">
        <f>(B686-B687)/SQRT(B687*(1-B687)/B688)</f>
        <v>0.8485281374238578</v>
      </c>
      <c r="D696" s="1" t="s">
        <v>656</v>
      </c>
      <c r="E696" s="1" t="s">
        <v>676</v>
      </c>
    </row>
    <row r="699" spans="1:8" x14ac:dyDescent="0.3">
      <c r="A699" s="321" t="s">
        <v>672</v>
      </c>
      <c r="B699" s="321"/>
      <c r="C699" s="321"/>
      <c r="D699" s="321"/>
      <c r="E699" s="321"/>
      <c r="F699" s="321"/>
      <c r="G699" s="321"/>
      <c r="H699" s="321"/>
    </row>
    <row r="700" spans="1:8" ht="14.4" thickBot="1" x14ac:dyDescent="0.35"/>
    <row r="701" spans="1:8" ht="16.2" thickBot="1" x14ac:dyDescent="0.35">
      <c r="A701" s="318" t="s">
        <v>114</v>
      </c>
      <c r="B701" s="319"/>
      <c r="C701" s="319"/>
      <c r="D701" s="319"/>
      <c r="E701" s="319"/>
      <c r="F701" s="319"/>
      <c r="G701" s="319"/>
      <c r="H701" s="320"/>
    </row>
    <row r="703" spans="1:8" x14ac:dyDescent="0.25">
      <c r="A703" s="1" t="s">
        <v>241</v>
      </c>
      <c r="B703" s="179">
        <f>118/172</f>
        <v>0.68604651162790697</v>
      </c>
      <c r="D703" s="181"/>
    </row>
    <row r="704" spans="1:8" x14ac:dyDescent="0.3">
      <c r="A704" s="1" t="s">
        <v>669</v>
      </c>
      <c r="B704" s="1">
        <v>0.75</v>
      </c>
    </row>
    <row r="705" spans="1:8" x14ac:dyDescent="0.3">
      <c r="A705" s="1" t="s">
        <v>569</v>
      </c>
      <c r="B705" s="1">
        <v>172</v>
      </c>
      <c r="D705" s="1">
        <v>2.6200000000000001E-2</v>
      </c>
    </row>
    <row r="706" spans="1:8" x14ac:dyDescent="0.3">
      <c r="A706" s="1" t="s">
        <v>579</v>
      </c>
      <c r="B706" s="1">
        <v>2.6200000000000001E-2</v>
      </c>
    </row>
    <row r="708" spans="1:8" x14ac:dyDescent="0.25">
      <c r="A708" s="181"/>
    </row>
    <row r="711" spans="1:8" ht="16.2" x14ac:dyDescent="0.3">
      <c r="A711" s="1" t="s">
        <v>676</v>
      </c>
      <c r="B711" s="1" t="s">
        <v>316</v>
      </c>
      <c r="C711" s="1">
        <f>NORMSINV(B706)</f>
        <v>-1.9398329073393961</v>
      </c>
    </row>
    <row r="713" spans="1:8" ht="16.2" x14ac:dyDescent="0.3">
      <c r="B713" s="1" t="s">
        <v>316</v>
      </c>
      <c r="C713" s="179">
        <f>(B703-B704)/SQRT(B704*(1-B704)/B705)</f>
        <v>-1.9369919939163724</v>
      </c>
      <c r="D713" s="1" t="s">
        <v>662</v>
      </c>
      <c r="E713" s="1" t="s">
        <v>676</v>
      </c>
    </row>
    <row r="716" spans="1:8" x14ac:dyDescent="0.3">
      <c r="A716" s="321" t="s">
        <v>673</v>
      </c>
      <c r="B716" s="321"/>
      <c r="C716" s="321"/>
      <c r="D716" s="321"/>
      <c r="E716" s="321"/>
      <c r="F716" s="321"/>
      <c r="G716" s="321"/>
      <c r="H716" s="321"/>
    </row>
    <row r="717" spans="1:8" ht="14.4" thickBot="1" x14ac:dyDescent="0.35"/>
    <row r="718" spans="1:8" ht="16.2" thickBot="1" x14ac:dyDescent="0.35">
      <c r="A718" s="318" t="s">
        <v>210</v>
      </c>
      <c r="B718" s="319"/>
      <c r="C718" s="319"/>
      <c r="D718" s="319"/>
      <c r="E718" s="319"/>
      <c r="F718" s="319"/>
      <c r="G718" s="319"/>
      <c r="H718" s="320"/>
    </row>
    <row r="720" spans="1:8" x14ac:dyDescent="0.25">
      <c r="A720" s="1" t="s">
        <v>241</v>
      </c>
      <c r="B720" s="179">
        <f>140/202</f>
        <v>0.69306930693069302</v>
      </c>
      <c r="D720" s="181"/>
    </row>
    <row r="721" spans="1:8" x14ac:dyDescent="0.3">
      <c r="A721" s="1" t="s">
        <v>669</v>
      </c>
      <c r="B721" s="1">
        <v>0.75</v>
      </c>
    </row>
    <row r="722" spans="1:8" x14ac:dyDescent="0.3">
      <c r="A722" s="1" t="s">
        <v>569</v>
      </c>
      <c r="B722" s="1">
        <v>202</v>
      </c>
    </row>
    <row r="723" spans="1:8" x14ac:dyDescent="0.3">
      <c r="A723" s="1" t="s">
        <v>579</v>
      </c>
      <c r="B723" s="1">
        <v>0.03</v>
      </c>
    </row>
    <row r="725" spans="1:8" x14ac:dyDescent="0.25">
      <c r="A725" s="181"/>
    </row>
    <row r="728" spans="1:8" ht="16.2" x14ac:dyDescent="0.3">
      <c r="A728" s="1" t="s">
        <v>676</v>
      </c>
      <c r="B728" s="1" t="s">
        <v>316</v>
      </c>
      <c r="C728" s="1">
        <f>NORMSINV(B723)</f>
        <v>-1.8807936081512509</v>
      </c>
    </row>
    <row r="730" spans="1:8" ht="16.2" x14ac:dyDescent="0.3">
      <c r="B730" s="1" t="s">
        <v>316</v>
      </c>
      <c r="C730" s="179">
        <f>(B720-B721)/SQRT(B721*(1-B721)/B722)</f>
        <v>-1.8686222665154928</v>
      </c>
      <c r="D730" s="1" t="s">
        <v>662</v>
      </c>
      <c r="E730" s="1" t="s">
        <v>676</v>
      </c>
    </row>
    <row r="733" spans="1:8" x14ac:dyDescent="0.3">
      <c r="A733" s="321" t="s">
        <v>673</v>
      </c>
      <c r="B733" s="321"/>
      <c r="C733" s="321"/>
      <c r="D733" s="321"/>
      <c r="E733" s="321"/>
      <c r="F733" s="321"/>
      <c r="G733" s="321"/>
      <c r="H733" s="321"/>
    </row>
    <row r="734" spans="1:8" ht="14.4" thickBot="1" x14ac:dyDescent="0.35"/>
    <row r="735" spans="1:8" ht="16.2" thickBot="1" x14ac:dyDescent="0.35">
      <c r="A735" s="318" t="s">
        <v>123</v>
      </c>
      <c r="B735" s="319"/>
      <c r="C735" s="319"/>
      <c r="D735" s="319"/>
      <c r="E735" s="319"/>
      <c r="F735" s="319"/>
      <c r="G735" s="319"/>
      <c r="H735" s="320"/>
    </row>
    <row r="736" spans="1:8" ht="16.2" x14ac:dyDescent="0.3">
      <c r="B736" s="1" t="s">
        <v>541</v>
      </c>
      <c r="C736" s="1" t="s">
        <v>607</v>
      </c>
      <c r="D736" s="1" t="s">
        <v>597</v>
      </c>
      <c r="F736" s="1" t="s">
        <v>677</v>
      </c>
      <c r="G736" s="1" t="s">
        <v>590</v>
      </c>
    </row>
    <row r="737" spans="1:7" x14ac:dyDescent="0.3">
      <c r="A737" s="1">
        <v>1</v>
      </c>
      <c r="B737" s="1">
        <v>26200</v>
      </c>
      <c r="C737" s="1">
        <v>22600</v>
      </c>
      <c r="D737" s="1">
        <f>B737-C737</f>
        <v>3600</v>
      </c>
      <c r="E737" s="1">
        <f>(D737-$D$745)^2</f>
        <v>4515625</v>
      </c>
      <c r="F737" s="1">
        <v>0</v>
      </c>
      <c r="G737" s="1">
        <v>0.05</v>
      </c>
    </row>
    <row r="738" spans="1:7" x14ac:dyDescent="0.3">
      <c r="A738" s="1">
        <v>2</v>
      </c>
      <c r="B738" s="1">
        <v>24700</v>
      </c>
      <c r="C738" s="1">
        <v>23600</v>
      </c>
      <c r="D738" s="1">
        <f t="shared" ref="D738:D744" si="2">B738-C738</f>
        <v>1100</v>
      </c>
      <c r="E738" s="1">
        <f t="shared" ref="E738:E744" si="3">(D738-$D$745)^2</f>
        <v>140625</v>
      </c>
    </row>
    <row r="739" spans="1:7" x14ac:dyDescent="0.3">
      <c r="A739" s="1">
        <v>3</v>
      </c>
      <c r="B739" s="1">
        <v>28400</v>
      </c>
      <c r="C739" s="1">
        <v>29300</v>
      </c>
      <c r="D739" s="1">
        <f t="shared" si="2"/>
        <v>-900</v>
      </c>
      <c r="E739" s="1">
        <f t="shared" si="3"/>
        <v>5640625</v>
      </c>
    </row>
    <row r="740" spans="1:7" x14ac:dyDescent="0.3">
      <c r="A740" s="1">
        <v>4</v>
      </c>
      <c r="B740" s="1">
        <v>21700</v>
      </c>
      <c r="C740" s="1">
        <v>22300</v>
      </c>
      <c r="D740" s="1">
        <f t="shared" si="2"/>
        <v>-600</v>
      </c>
      <c r="E740" s="1">
        <f t="shared" si="3"/>
        <v>4305625</v>
      </c>
    </row>
    <row r="741" spans="1:7" x14ac:dyDescent="0.3">
      <c r="A741" s="1">
        <v>5</v>
      </c>
      <c r="B741" s="1">
        <v>28600</v>
      </c>
      <c r="C741" s="1">
        <v>26200</v>
      </c>
      <c r="D741" s="1">
        <f t="shared" si="2"/>
        <v>2400</v>
      </c>
      <c r="E741" s="1">
        <f t="shared" si="3"/>
        <v>855625</v>
      </c>
    </row>
    <row r="742" spans="1:7" x14ac:dyDescent="0.3">
      <c r="A742" s="1">
        <v>6</v>
      </c>
      <c r="B742" s="1">
        <v>29300</v>
      </c>
      <c r="C742" s="1">
        <v>25900</v>
      </c>
      <c r="D742" s="1">
        <f t="shared" si="2"/>
        <v>3400</v>
      </c>
      <c r="E742" s="1">
        <f t="shared" si="3"/>
        <v>3705625</v>
      </c>
    </row>
    <row r="743" spans="1:7" x14ac:dyDescent="0.3">
      <c r="A743" s="1">
        <v>7</v>
      </c>
      <c r="B743" s="1">
        <v>28300</v>
      </c>
      <c r="C743" s="1">
        <v>28500</v>
      </c>
      <c r="D743" s="1">
        <f t="shared" si="2"/>
        <v>-200</v>
      </c>
      <c r="E743" s="1">
        <f t="shared" si="3"/>
        <v>2805625</v>
      </c>
    </row>
    <row r="744" spans="1:7" x14ac:dyDescent="0.3">
      <c r="A744" s="1">
        <v>8</v>
      </c>
      <c r="B744" s="1">
        <v>24300</v>
      </c>
      <c r="C744" s="1">
        <v>21300</v>
      </c>
      <c r="D744" s="1">
        <f t="shared" si="2"/>
        <v>3000</v>
      </c>
      <c r="E744" s="1">
        <f t="shared" si="3"/>
        <v>2325625</v>
      </c>
    </row>
    <row r="745" spans="1:7" ht="16.2" customHeight="1" x14ac:dyDescent="0.3">
      <c r="A745" s="1" t="s">
        <v>3</v>
      </c>
      <c r="B745" s="1">
        <f>AVERAGE(B737:B744)</f>
        <v>26437.5</v>
      </c>
      <c r="C745" s="1">
        <f>AVERAGE(C737:C744)</f>
        <v>24962.5</v>
      </c>
      <c r="D745" s="1">
        <f>AVERAGE(D737:D744)</f>
        <v>1475</v>
      </c>
    </row>
    <row r="746" spans="1:7" x14ac:dyDescent="0.3">
      <c r="A746" s="1" t="s">
        <v>134</v>
      </c>
      <c r="E746" s="1">
        <f>SUM(E737:E744)/7</f>
        <v>3470714.2857142859</v>
      </c>
    </row>
    <row r="747" spans="1:7" ht="27.6" x14ac:dyDescent="0.25">
      <c r="A747" s="181" t="s">
        <v>4</v>
      </c>
      <c r="E747" s="1">
        <f>SQRT(E746)</f>
        <v>1862.9853154854136</v>
      </c>
    </row>
    <row r="749" spans="1:7" ht="14.4" x14ac:dyDescent="0.3">
      <c r="A749"/>
    </row>
    <row r="752" spans="1:7" x14ac:dyDescent="0.3">
      <c r="B752" s="1" t="s">
        <v>316</v>
      </c>
      <c r="C752" s="1">
        <f>TINV(G737,7)</f>
        <v>2.3646242515927849</v>
      </c>
    </row>
    <row r="755" spans="1:8" x14ac:dyDescent="0.3">
      <c r="B755" s="1" t="s">
        <v>316</v>
      </c>
      <c r="C755" s="1">
        <f>(D745-F737)/(E747/SQRT(8))</f>
        <v>2.2393789013380418</v>
      </c>
    </row>
    <row r="758" spans="1:8" x14ac:dyDescent="0.3">
      <c r="A758" s="321" t="s">
        <v>673</v>
      </c>
      <c r="B758" s="321"/>
      <c r="C758" s="321"/>
      <c r="D758" s="321"/>
      <c r="E758" s="321"/>
      <c r="F758" s="321"/>
      <c r="G758" s="321"/>
      <c r="H758" s="321"/>
    </row>
    <row r="759" spans="1:8" ht="14.4" thickBot="1" x14ac:dyDescent="0.35"/>
    <row r="760" spans="1:8" ht="16.2" thickBot="1" x14ac:dyDescent="0.35">
      <c r="A760" s="318" t="s">
        <v>211</v>
      </c>
      <c r="B760" s="319"/>
      <c r="C760" s="319"/>
      <c r="D760" s="319"/>
      <c r="E760" s="319"/>
      <c r="F760" s="319"/>
      <c r="G760" s="319"/>
      <c r="H760" s="320"/>
    </row>
    <row r="761" spans="1:8" ht="16.2" x14ac:dyDescent="0.3">
      <c r="B761" s="1" t="s">
        <v>541</v>
      </c>
      <c r="C761" s="1" t="s">
        <v>607</v>
      </c>
      <c r="D761" s="1" t="s">
        <v>597</v>
      </c>
      <c r="F761" s="1" t="s">
        <v>677</v>
      </c>
      <c r="G761" s="1" t="s">
        <v>590</v>
      </c>
    </row>
    <row r="762" spans="1:8" x14ac:dyDescent="0.3">
      <c r="A762" s="1">
        <v>1</v>
      </c>
      <c r="B762" s="1">
        <v>82</v>
      </c>
      <c r="C762" s="1">
        <v>75</v>
      </c>
      <c r="D762" s="1">
        <f>B762-C762</f>
        <v>7</v>
      </c>
      <c r="E762" s="1">
        <f>(D762-$D$768)^2</f>
        <v>6.25</v>
      </c>
      <c r="F762" s="1">
        <v>0</v>
      </c>
      <c r="G762" s="1">
        <v>8.8999999999999996E-2</v>
      </c>
    </row>
    <row r="763" spans="1:8" x14ac:dyDescent="0.3">
      <c r="A763" s="1">
        <v>2</v>
      </c>
      <c r="B763" s="1">
        <v>73</v>
      </c>
      <c r="C763" s="1">
        <v>71</v>
      </c>
      <c r="D763" s="1">
        <f t="shared" ref="D763:D767" si="4">B763-C763</f>
        <v>2</v>
      </c>
      <c r="E763" s="1">
        <f t="shared" ref="E763:E767" si="5">(D763-$D$768)^2</f>
        <v>6.25</v>
      </c>
    </row>
    <row r="764" spans="1:8" x14ac:dyDescent="0.3">
      <c r="A764" s="1">
        <v>3</v>
      </c>
      <c r="B764" s="1">
        <v>59</v>
      </c>
      <c r="C764" s="1">
        <v>52</v>
      </c>
      <c r="D764" s="1">
        <f t="shared" si="4"/>
        <v>7</v>
      </c>
      <c r="E764" s="1">
        <f t="shared" si="5"/>
        <v>6.25</v>
      </c>
    </row>
    <row r="765" spans="1:8" x14ac:dyDescent="0.3">
      <c r="A765" s="1">
        <v>4</v>
      </c>
      <c r="B765" s="1">
        <v>48</v>
      </c>
      <c r="C765" s="1">
        <v>46</v>
      </c>
      <c r="D765" s="1">
        <f t="shared" si="4"/>
        <v>2</v>
      </c>
      <c r="E765" s="1">
        <f t="shared" si="5"/>
        <v>6.25</v>
      </c>
    </row>
    <row r="766" spans="1:8" x14ac:dyDescent="0.3">
      <c r="A766" s="1">
        <v>5</v>
      </c>
      <c r="B766" s="1">
        <v>69</v>
      </c>
      <c r="C766" s="1">
        <v>70</v>
      </c>
      <c r="D766" s="1">
        <f t="shared" si="4"/>
        <v>-1</v>
      </c>
      <c r="E766" s="1">
        <f t="shared" si="5"/>
        <v>30.25</v>
      </c>
    </row>
    <row r="767" spans="1:8" x14ac:dyDescent="0.3">
      <c r="A767" s="1">
        <v>6</v>
      </c>
      <c r="B767" s="1">
        <v>93</v>
      </c>
      <c r="C767" s="1">
        <v>83</v>
      </c>
      <c r="D767" s="1">
        <f t="shared" si="4"/>
        <v>10</v>
      </c>
      <c r="E767" s="1">
        <f t="shared" si="5"/>
        <v>30.25</v>
      </c>
    </row>
    <row r="768" spans="1:8" x14ac:dyDescent="0.3">
      <c r="A768" s="1" t="s">
        <v>3</v>
      </c>
      <c r="B768" s="1">
        <f>AVERAGE(B762:B767)</f>
        <v>70.666666666666671</v>
      </c>
      <c r="C768" s="1">
        <f>AVERAGE(C762:C767)</f>
        <v>66.166666666666671</v>
      </c>
      <c r="D768" s="1">
        <f>AVERAGE(D762:D767)</f>
        <v>4.5</v>
      </c>
    </row>
    <row r="769" spans="1:8" x14ac:dyDescent="0.3">
      <c r="A769" s="1" t="s">
        <v>134</v>
      </c>
      <c r="E769" s="1">
        <f>SUM(E762:E767)/5</f>
        <v>17.100000000000001</v>
      </c>
    </row>
    <row r="770" spans="1:8" ht="27.6" x14ac:dyDescent="0.25">
      <c r="A770" s="181" t="s">
        <v>4</v>
      </c>
      <c r="E770" s="1">
        <f>SQRT(E769)</f>
        <v>4.135214625627067</v>
      </c>
    </row>
    <row r="775" spans="1:8" x14ac:dyDescent="0.3">
      <c r="B775" s="1" t="s">
        <v>316</v>
      </c>
      <c r="C775" s="1">
        <f>TINV(G762/2,5)</f>
        <v>2.6671571085231141</v>
      </c>
    </row>
    <row r="778" spans="1:8" x14ac:dyDescent="0.3">
      <c r="B778" s="1" t="s">
        <v>316</v>
      </c>
      <c r="C778" s="1">
        <f>(D768-F762)/(E770/SQRT(6))</f>
        <v>2.6655699499159149</v>
      </c>
    </row>
    <row r="781" spans="1:8" x14ac:dyDescent="0.3">
      <c r="A781" s="321" t="s">
        <v>681</v>
      </c>
      <c r="B781" s="321"/>
      <c r="C781" s="321"/>
      <c r="D781" s="321"/>
      <c r="E781" s="321"/>
      <c r="F781" s="321"/>
      <c r="G781" s="321"/>
      <c r="H781" s="321"/>
    </row>
    <row r="782" spans="1:8" ht="14.4" thickBot="1" x14ac:dyDescent="0.35"/>
    <row r="783" spans="1:8" ht="16.2" thickBot="1" x14ac:dyDescent="0.35">
      <c r="A783" s="318" t="s">
        <v>304</v>
      </c>
      <c r="B783" s="319"/>
      <c r="C783" s="319"/>
      <c r="D783" s="319"/>
      <c r="E783" s="319"/>
      <c r="F783" s="319"/>
      <c r="G783" s="319"/>
      <c r="H783" s="320"/>
    </row>
    <row r="784" spans="1:8" ht="15.6" x14ac:dyDescent="0.3">
      <c r="A784" s="174"/>
      <c r="B784" s="174"/>
      <c r="C784" s="159" t="s">
        <v>679</v>
      </c>
      <c r="D784" s="159" t="s">
        <v>590</v>
      </c>
      <c r="E784" s="159"/>
      <c r="F784" s="159"/>
      <c r="G784" s="159"/>
      <c r="H784" s="159"/>
    </row>
    <row r="785" spans="1:8" ht="15.6" x14ac:dyDescent="0.3">
      <c r="A785" s="159" t="s">
        <v>569</v>
      </c>
      <c r="B785" s="159">
        <v>145</v>
      </c>
      <c r="C785" s="159">
        <v>0</v>
      </c>
      <c r="D785" s="159">
        <v>8.5999999999999993E-2</v>
      </c>
      <c r="E785" s="159"/>
      <c r="F785" s="159"/>
      <c r="G785" s="159"/>
      <c r="H785" s="159"/>
    </row>
    <row r="786" spans="1:8" ht="15.6" x14ac:dyDescent="0.3">
      <c r="A786" s="159" t="s">
        <v>678</v>
      </c>
      <c r="B786" s="159">
        <v>5.1799999999999999E-2</v>
      </c>
      <c r="C786" s="159"/>
      <c r="D786" s="159"/>
      <c r="E786" s="159"/>
      <c r="F786" s="159"/>
      <c r="G786" s="159"/>
      <c r="H786" s="159"/>
    </row>
    <row r="787" spans="1:8" ht="15.6" x14ac:dyDescent="0.3">
      <c r="A787" s="159" t="s">
        <v>596</v>
      </c>
      <c r="B787" s="159">
        <v>0.30549999999999999</v>
      </c>
      <c r="C787" s="159"/>
      <c r="D787" s="159"/>
      <c r="E787" s="159"/>
      <c r="F787" s="159"/>
      <c r="G787" s="159"/>
      <c r="H787" s="159"/>
    </row>
    <row r="788" spans="1:8" ht="15.6" x14ac:dyDescent="0.3">
      <c r="A788" s="174"/>
      <c r="B788" s="174"/>
      <c r="C788" s="159"/>
      <c r="D788" s="159"/>
      <c r="E788" s="159"/>
      <c r="F788" s="159"/>
      <c r="G788" s="159"/>
      <c r="H788" s="159"/>
    </row>
    <row r="793" spans="1:8" x14ac:dyDescent="0.3">
      <c r="B793" s="1" t="s">
        <v>316</v>
      </c>
      <c r="C793" s="1">
        <f>TINV(D785/2,144)</f>
        <v>2.0417680479803826</v>
      </c>
    </row>
    <row r="796" spans="1:8" x14ac:dyDescent="0.3">
      <c r="B796" s="1" t="s">
        <v>316</v>
      </c>
      <c r="C796" s="1">
        <f>(B786-C785)/(B787/SQRT(B785))</f>
        <v>2.0417499154875314</v>
      </c>
    </row>
    <row r="799" spans="1:8" x14ac:dyDescent="0.3">
      <c r="A799" s="321" t="s">
        <v>680</v>
      </c>
      <c r="B799" s="321"/>
      <c r="C799" s="321"/>
      <c r="D799" s="321"/>
      <c r="E799" s="321"/>
      <c r="F799" s="321"/>
      <c r="G799" s="321"/>
      <c r="H799" s="321"/>
    </row>
    <row r="800" spans="1:8" ht="14.4" thickBot="1" x14ac:dyDescent="0.35"/>
    <row r="801" spans="1:8" ht="16.2" thickBot="1" x14ac:dyDescent="0.35">
      <c r="A801" s="318" t="s">
        <v>305</v>
      </c>
      <c r="B801" s="319"/>
      <c r="C801" s="319"/>
      <c r="D801" s="319"/>
      <c r="E801" s="319"/>
      <c r="F801" s="319"/>
      <c r="G801" s="319"/>
      <c r="H801" s="320"/>
    </row>
    <row r="802" spans="1:8" ht="41.4" x14ac:dyDescent="0.3">
      <c r="A802" s="174"/>
      <c r="B802" s="159" t="s">
        <v>541</v>
      </c>
      <c r="C802" s="159" t="s">
        <v>607</v>
      </c>
      <c r="D802" s="1" t="s">
        <v>682</v>
      </c>
      <c r="E802" s="159" t="s">
        <v>590</v>
      </c>
      <c r="F802" s="159"/>
      <c r="G802" s="159"/>
      <c r="H802" s="159"/>
    </row>
    <row r="803" spans="1:8" ht="15.6" x14ac:dyDescent="0.3">
      <c r="A803" s="159" t="s">
        <v>569</v>
      </c>
      <c r="B803" s="159">
        <v>151</v>
      </c>
      <c r="C803" s="159">
        <v>108</v>
      </c>
      <c r="E803" s="159">
        <v>8.5999999999999993E-2</v>
      </c>
      <c r="F803" s="159"/>
      <c r="G803" s="159"/>
      <c r="H803" s="159"/>
    </row>
    <row r="804" spans="1:8" ht="15.6" x14ac:dyDescent="0.3">
      <c r="A804" s="159" t="s">
        <v>678</v>
      </c>
      <c r="B804" s="159">
        <v>85.8</v>
      </c>
      <c r="C804" s="159">
        <v>71.5</v>
      </c>
      <c r="D804" s="159"/>
      <c r="E804" s="159"/>
      <c r="F804" s="159"/>
      <c r="G804" s="159"/>
      <c r="H804" s="159"/>
    </row>
    <row r="805" spans="1:8" ht="15.6" x14ac:dyDescent="0.3">
      <c r="A805" s="159" t="s">
        <v>596</v>
      </c>
      <c r="B805" s="159">
        <v>19.3</v>
      </c>
      <c r="C805" s="159">
        <v>12.2</v>
      </c>
      <c r="D805" s="159"/>
      <c r="E805" s="159"/>
      <c r="F805" s="159"/>
      <c r="G805" s="159"/>
      <c r="H805" s="159"/>
    </row>
    <row r="806" spans="1:8" ht="15.6" x14ac:dyDescent="0.3">
      <c r="A806" s="174"/>
      <c r="B806" s="174"/>
      <c r="C806" s="159"/>
      <c r="D806" s="159"/>
      <c r="E806" s="159"/>
      <c r="F806" s="159"/>
      <c r="G806" s="159"/>
      <c r="H806" s="159"/>
    </row>
    <row r="807" spans="1:8" ht="15.6" x14ac:dyDescent="0.3">
      <c r="A807" s="174"/>
      <c r="B807" s="174"/>
      <c r="C807" s="159"/>
      <c r="D807" s="159"/>
      <c r="E807" s="159"/>
      <c r="F807" s="159"/>
      <c r="G807" s="159"/>
      <c r="H807" s="159"/>
    </row>
    <row r="808" spans="1:8" ht="15.6" x14ac:dyDescent="0.3">
      <c r="A808" s="174"/>
      <c r="B808" s="174"/>
      <c r="C808" s="159"/>
      <c r="D808" s="159"/>
      <c r="E808" s="159"/>
      <c r="F808" s="159"/>
      <c r="G808" s="159"/>
      <c r="H808" s="159"/>
    </row>
    <row r="809" spans="1:8" ht="15.6" x14ac:dyDescent="0.3">
      <c r="A809" s="174"/>
      <c r="B809" s="174"/>
      <c r="C809" s="159"/>
      <c r="D809" s="159"/>
      <c r="E809" s="159"/>
      <c r="F809" s="159"/>
      <c r="G809" s="159"/>
      <c r="H809" s="159"/>
    </row>
    <row r="810" spans="1:8" ht="15.6" x14ac:dyDescent="0.3">
      <c r="A810" s="174"/>
      <c r="B810" s="174"/>
      <c r="C810" s="159"/>
      <c r="D810" s="159"/>
      <c r="E810" s="159"/>
      <c r="F810" s="159"/>
      <c r="G810" s="159"/>
      <c r="H810" s="159"/>
    </row>
    <row r="811" spans="1:8" ht="15.6" x14ac:dyDescent="0.3">
      <c r="A811" s="174"/>
      <c r="B811" s="174"/>
      <c r="C811" s="159"/>
      <c r="D811" s="159"/>
      <c r="E811" s="159"/>
      <c r="F811" s="159"/>
      <c r="G811" s="159"/>
      <c r="H811" s="159"/>
    </row>
    <row r="812" spans="1:8" ht="15.6" x14ac:dyDescent="0.3">
      <c r="A812" s="174"/>
      <c r="B812" s="174"/>
      <c r="C812" s="159"/>
      <c r="D812" s="159"/>
      <c r="E812" s="159"/>
      <c r="F812" s="159"/>
      <c r="G812" s="159"/>
      <c r="H812" s="159"/>
    </row>
    <row r="813" spans="1:8" ht="15.6" x14ac:dyDescent="0.3">
      <c r="A813" s="174"/>
      <c r="B813" s="174"/>
      <c r="C813" s="159"/>
      <c r="D813" s="159"/>
      <c r="E813" s="159"/>
      <c r="F813" s="159"/>
      <c r="G813" s="159"/>
      <c r="H813" s="159"/>
    </row>
    <row r="814" spans="1:8" ht="15.6" x14ac:dyDescent="0.3">
      <c r="A814" s="174"/>
      <c r="B814" s="174"/>
      <c r="C814" s="159"/>
      <c r="D814" s="159"/>
      <c r="E814" s="159"/>
      <c r="F814" s="159"/>
      <c r="G814" s="159"/>
      <c r="H814" s="159"/>
    </row>
    <row r="817" spans="1:8" x14ac:dyDescent="0.3">
      <c r="A817" s="321" t="s">
        <v>680</v>
      </c>
      <c r="B817" s="321"/>
      <c r="C817" s="321"/>
      <c r="D817" s="321"/>
      <c r="E817" s="321"/>
      <c r="F817" s="321"/>
      <c r="G817" s="321"/>
      <c r="H817" s="321"/>
    </row>
    <row r="818" spans="1:8" ht="14.4" thickBot="1" x14ac:dyDescent="0.35"/>
    <row r="819" spans="1:8" ht="16.2" thickBot="1" x14ac:dyDescent="0.35">
      <c r="A819" s="318" t="s">
        <v>126</v>
      </c>
      <c r="B819" s="319"/>
      <c r="C819" s="319"/>
      <c r="D819" s="319"/>
      <c r="E819" s="319"/>
      <c r="F819" s="319"/>
      <c r="G819" s="319"/>
      <c r="H819" s="320"/>
    </row>
    <row r="820" spans="1:8" ht="62.4" x14ac:dyDescent="0.3">
      <c r="A820" s="174"/>
      <c r="B820" s="159" t="s">
        <v>683</v>
      </c>
      <c r="C820" s="159" t="s">
        <v>684</v>
      </c>
      <c r="D820" s="1" t="s">
        <v>682</v>
      </c>
      <c r="E820" s="159" t="s">
        <v>590</v>
      </c>
      <c r="F820" s="159"/>
      <c r="G820" s="159"/>
      <c r="H820" s="159"/>
    </row>
    <row r="821" spans="1:8" ht="15.6" x14ac:dyDescent="0.3">
      <c r="A821" s="159" t="s">
        <v>569</v>
      </c>
      <c r="B821" s="159">
        <v>125</v>
      </c>
      <c r="C821" s="159">
        <v>86</v>
      </c>
      <c r="E821" s="159">
        <v>0.5</v>
      </c>
      <c r="F821" s="159"/>
      <c r="G821" s="159"/>
      <c r="H821" s="159"/>
    </row>
    <row r="822" spans="1:8" ht="15.6" x14ac:dyDescent="0.3">
      <c r="A822" s="159" t="s">
        <v>575</v>
      </c>
      <c r="B822" s="159">
        <v>1.91</v>
      </c>
      <c r="C822" s="159">
        <v>0.21</v>
      </c>
      <c r="D822" s="159">
        <f>B822-C822</f>
        <v>1.7</v>
      </c>
      <c r="E822" s="159"/>
      <c r="F822" s="159"/>
      <c r="G822" s="159"/>
      <c r="H822" s="159"/>
    </row>
    <row r="823" spans="1:8" ht="15.6" x14ac:dyDescent="0.3">
      <c r="A823" s="159" t="s">
        <v>596</v>
      </c>
      <c r="B823" s="159">
        <v>1.32</v>
      </c>
      <c r="C823" s="159">
        <v>0.53</v>
      </c>
      <c r="D823" s="159"/>
      <c r="E823" s="159"/>
      <c r="F823" s="159"/>
      <c r="G823" s="159"/>
      <c r="H823" s="159"/>
    </row>
    <row r="824" spans="1:8" ht="15.6" x14ac:dyDescent="0.3">
      <c r="A824" s="174"/>
      <c r="B824" s="174"/>
      <c r="C824" s="159"/>
      <c r="D824" s="159"/>
      <c r="E824" s="159"/>
      <c r="F824" s="159"/>
      <c r="G824" s="159"/>
      <c r="H824" s="159"/>
    </row>
    <row r="825" spans="1:8" ht="14.4" x14ac:dyDescent="0.3">
      <c r="A825"/>
    </row>
    <row r="830" spans="1:8" ht="16.2" x14ac:dyDescent="0.3">
      <c r="A830" s="1" t="s">
        <v>676</v>
      </c>
      <c r="B830" s="1" t="s">
        <v>316</v>
      </c>
      <c r="C830" s="1">
        <f>NORMSINV(E821)</f>
        <v>0</v>
      </c>
    </row>
    <row r="833" spans="1:8" ht="16.2" x14ac:dyDescent="0.3">
      <c r="B833" s="1" t="s">
        <v>316</v>
      </c>
      <c r="C833" s="1">
        <f>(D822-0)/(SQRT((B823^2/B821)+(C823^2/C821)))</f>
        <v>12.960314384884267</v>
      </c>
      <c r="D833" s="1" t="s">
        <v>662</v>
      </c>
      <c r="E833" s="1" t="s">
        <v>676</v>
      </c>
    </row>
    <row r="837" spans="1:8" x14ac:dyDescent="0.3">
      <c r="A837" s="321" t="s">
        <v>685</v>
      </c>
      <c r="B837" s="321"/>
      <c r="C837" s="321"/>
      <c r="D837" s="321"/>
      <c r="E837" s="321"/>
      <c r="F837" s="321"/>
      <c r="G837" s="321"/>
      <c r="H837" s="321"/>
    </row>
    <row r="838" spans="1:8" ht="14.4" thickBot="1" x14ac:dyDescent="0.35"/>
    <row r="839" spans="1:8" ht="16.2" thickBot="1" x14ac:dyDescent="0.35">
      <c r="A839" s="318" t="s">
        <v>306</v>
      </c>
      <c r="B839" s="319"/>
      <c r="C839" s="319"/>
      <c r="D839" s="319"/>
      <c r="E839" s="319"/>
      <c r="F839" s="319"/>
      <c r="G839" s="319"/>
      <c r="H839" s="320"/>
    </row>
    <row r="840" spans="1:8" ht="46.8" x14ac:dyDescent="0.3">
      <c r="A840" s="174"/>
      <c r="B840" s="159" t="s">
        <v>686</v>
      </c>
      <c r="C840" s="159" t="s">
        <v>687</v>
      </c>
      <c r="D840" s="1" t="s">
        <v>682</v>
      </c>
      <c r="E840" s="159" t="s">
        <v>590</v>
      </c>
      <c r="F840" s="159"/>
      <c r="G840" s="159"/>
      <c r="H840" s="159"/>
    </row>
    <row r="841" spans="1:8" ht="15.6" x14ac:dyDescent="0.3">
      <c r="A841" s="159" t="s">
        <v>569</v>
      </c>
      <c r="B841" s="159">
        <v>114</v>
      </c>
      <c r="C841" s="159">
        <v>123</v>
      </c>
      <c r="E841" s="159">
        <v>0.3</v>
      </c>
      <c r="F841" s="159"/>
      <c r="G841" s="159"/>
      <c r="H841" s="159"/>
    </row>
    <row r="842" spans="1:8" ht="15.6" x14ac:dyDescent="0.3">
      <c r="A842" s="159" t="s">
        <v>575</v>
      </c>
      <c r="B842" s="159">
        <v>2.71</v>
      </c>
      <c r="C842" s="159">
        <v>2.79</v>
      </c>
      <c r="D842" s="159">
        <f>B842-C842</f>
        <v>-8.0000000000000071E-2</v>
      </c>
      <c r="E842" s="159"/>
      <c r="F842" s="159"/>
      <c r="G842" s="159"/>
      <c r="H842" s="159"/>
    </row>
    <row r="843" spans="1:8" ht="15.6" x14ac:dyDescent="0.3">
      <c r="A843" s="159" t="s">
        <v>596</v>
      </c>
      <c r="B843" s="159">
        <v>0.64</v>
      </c>
      <c r="C843" s="159">
        <v>0.56000000000000005</v>
      </c>
      <c r="D843" s="159"/>
      <c r="E843" s="159"/>
      <c r="F843" s="159"/>
      <c r="G843" s="159"/>
      <c r="H843" s="159"/>
    </row>
    <row r="844" spans="1:8" ht="15.6" x14ac:dyDescent="0.3">
      <c r="A844" s="174"/>
      <c r="B844" s="174"/>
      <c r="C844" s="159"/>
      <c r="D844" s="159"/>
      <c r="E844" s="159"/>
      <c r="F844" s="159"/>
      <c r="G844" s="159"/>
      <c r="H844" s="159"/>
    </row>
    <row r="845" spans="1:8" ht="14.4" x14ac:dyDescent="0.3">
      <c r="A845"/>
    </row>
    <row r="850" spans="1:8" ht="16.2" x14ac:dyDescent="0.3">
      <c r="A850" s="1" t="s">
        <v>688</v>
      </c>
      <c r="B850" s="1" t="s">
        <v>316</v>
      </c>
      <c r="C850" s="1">
        <f>NORMSINV(E841/2)</f>
        <v>-1.0364333894937898</v>
      </c>
    </row>
    <row r="853" spans="1:8" ht="16.2" x14ac:dyDescent="0.3">
      <c r="B853" s="1" t="s">
        <v>316</v>
      </c>
      <c r="C853" s="1">
        <f>(D842-0)/(SQRT((B843^2/B841)+(C843^2/C841)))</f>
        <v>-1.0207390257632003</v>
      </c>
      <c r="D853" s="1" t="s">
        <v>662</v>
      </c>
      <c r="E853" s="1" t="s">
        <v>676</v>
      </c>
    </row>
    <row r="857" spans="1:8" ht="13.95" customHeight="1" x14ac:dyDescent="0.3">
      <c r="A857" s="321" t="s">
        <v>689</v>
      </c>
      <c r="B857" s="321"/>
      <c r="C857" s="321"/>
      <c r="D857" s="321"/>
      <c r="E857" s="321"/>
      <c r="F857" s="321"/>
      <c r="G857" s="321"/>
      <c r="H857" s="321"/>
    </row>
    <row r="858" spans="1:8" ht="14.4" thickBot="1" x14ac:dyDescent="0.35"/>
    <row r="859" spans="1:8" ht="16.2" thickBot="1" x14ac:dyDescent="0.35">
      <c r="A859" s="318" t="s">
        <v>143</v>
      </c>
      <c r="B859" s="319"/>
      <c r="C859" s="319"/>
      <c r="D859" s="319"/>
      <c r="E859" s="319"/>
      <c r="F859" s="319"/>
      <c r="G859" s="319"/>
      <c r="H859" s="320"/>
    </row>
    <row r="860" spans="1:8" ht="46.8" x14ac:dyDescent="0.3">
      <c r="A860" s="174"/>
      <c r="B860" s="159" t="s">
        <v>686</v>
      </c>
      <c r="C860" s="159" t="s">
        <v>687</v>
      </c>
      <c r="D860" s="1" t="s">
        <v>682</v>
      </c>
      <c r="E860" s="159" t="s">
        <v>590</v>
      </c>
      <c r="F860" s="159"/>
      <c r="G860" s="159"/>
      <c r="H860" s="159"/>
    </row>
    <row r="861" spans="1:8" ht="15.6" x14ac:dyDescent="0.3">
      <c r="A861" s="159" t="s">
        <v>569</v>
      </c>
      <c r="B861" s="159">
        <v>33</v>
      </c>
      <c r="C861" s="159">
        <v>36</v>
      </c>
      <c r="E861" s="159">
        <v>0.06</v>
      </c>
      <c r="F861" s="159"/>
      <c r="G861" s="159"/>
      <c r="H861" s="159"/>
    </row>
    <row r="862" spans="1:8" ht="15.6" x14ac:dyDescent="0.3">
      <c r="A862" s="159" t="s">
        <v>575</v>
      </c>
      <c r="B862" s="159">
        <v>36.21</v>
      </c>
      <c r="C862" s="159">
        <v>47.56</v>
      </c>
      <c r="D862" s="159">
        <f>B862-C862</f>
        <v>-11.350000000000001</v>
      </c>
      <c r="E862" s="159"/>
      <c r="F862" s="159"/>
      <c r="G862" s="159"/>
      <c r="H862" s="159"/>
    </row>
    <row r="863" spans="1:8" ht="15.6" x14ac:dyDescent="0.3">
      <c r="A863" s="159" t="s">
        <v>596</v>
      </c>
      <c r="B863" s="159">
        <v>22.93</v>
      </c>
      <c r="C863" s="159">
        <v>27.56</v>
      </c>
      <c r="D863" s="159"/>
      <c r="E863" s="159"/>
      <c r="F863" s="159"/>
      <c r="G863" s="159"/>
      <c r="H863" s="159"/>
    </row>
    <row r="864" spans="1:8" ht="15.6" x14ac:dyDescent="0.3">
      <c r="A864" s="174"/>
      <c r="B864" s="174"/>
      <c r="C864" s="159"/>
      <c r="D864" s="159"/>
      <c r="E864" s="159"/>
      <c r="F864" s="159"/>
      <c r="G864" s="159"/>
      <c r="H864" s="159"/>
    </row>
    <row r="865" spans="1:8" ht="14.4" x14ac:dyDescent="0.3">
      <c r="A865"/>
    </row>
    <row r="870" spans="1:8" ht="16.2" x14ac:dyDescent="0.3">
      <c r="A870" s="1" t="s">
        <v>688</v>
      </c>
      <c r="B870" s="1" t="s">
        <v>316</v>
      </c>
      <c r="C870" s="1">
        <f>NORMSINV(E861/2)</f>
        <v>-1.8807936081512509</v>
      </c>
    </row>
    <row r="873" spans="1:8" ht="16.2" x14ac:dyDescent="0.3">
      <c r="B873" s="1" t="s">
        <v>316</v>
      </c>
      <c r="C873" s="168">
        <f>(D862-0)/(SQRT((B863^2/B861)+(C863^2/C861)))</f>
        <v>-1.8651325447199323</v>
      </c>
      <c r="D873" s="1" t="s">
        <v>662</v>
      </c>
      <c r="E873" s="1" t="s">
        <v>676</v>
      </c>
    </row>
    <row r="877" spans="1:8" x14ac:dyDescent="0.3">
      <c r="A877" s="321" t="s">
        <v>690</v>
      </c>
      <c r="B877" s="321"/>
      <c r="C877" s="321"/>
      <c r="D877" s="321"/>
      <c r="E877" s="321"/>
      <c r="F877" s="321"/>
      <c r="G877" s="321"/>
      <c r="H877" s="321"/>
    </row>
    <row r="878" spans="1:8" ht="14.4" thickBot="1" x14ac:dyDescent="0.35"/>
    <row r="879" spans="1:8" ht="16.2" thickBot="1" x14ac:dyDescent="0.35">
      <c r="A879" s="318" t="s">
        <v>308</v>
      </c>
      <c r="B879" s="319"/>
      <c r="C879" s="319"/>
      <c r="D879" s="319"/>
      <c r="E879" s="319"/>
      <c r="F879" s="319"/>
      <c r="G879" s="319"/>
      <c r="H879" s="320"/>
    </row>
    <row r="880" spans="1:8" ht="46.8" x14ac:dyDescent="0.3">
      <c r="A880" s="174"/>
      <c r="B880" s="159" t="s">
        <v>686</v>
      </c>
      <c r="C880" s="159" t="s">
        <v>687</v>
      </c>
      <c r="D880" s="1" t="s">
        <v>682</v>
      </c>
      <c r="E880" s="159" t="s">
        <v>590</v>
      </c>
      <c r="F880" s="159"/>
      <c r="G880" s="159"/>
      <c r="H880" s="159"/>
    </row>
    <row r="881" spans="1:8" ht="15.6" x14ac:dyDescent="0.3">
      <c r="A881" s="159" t="s">
        <v>569</v>
      </c>
      <c r="B881" s="159"/>
      <c r="C881" s="159"/>
      <c r="E881" s="159">
        <v>0.06</v>
      </c>
      <c r="F881" s="159"/>
      <c r="G881" s="159"/>
      <c r="H881" s="159"/>
    </row>
    <row r="882" spans="1:8" ht="15.6" x14ac:dyDescent="0.3">
      <c r="A882" s="159" t="s">
        <v>575</v>
      </c>
      <c r="B882" s="159"/>
      <c r="C882" s="159"/>
      <c r="D882" s="159">
        <f>B882-C882</f>
        <v>0</v>
      </c>
      <c r="E882" s="159"/>
      <c r="F882" s="159"/>
      <c r="G882" s="159"/>
      <c r="H882" s="159"/>
    </row>
    <row r="883" spans="1:8" ht="15.6" x14ac:dyDescent="0.3">
      <c r="A883" s="159" t="s">
        <v>596</v>
      </c>
      <c r="B883" s="159"/>
      <c r="C883" s="159"/>
      <c r="D883" s="159"/>
      <c r="E883" s="159"/>
      <c r="F883" s="159"/>
      <c r="G883" s="159"/>
      <c r="H883" s="159"/>
    </row>
    <row r="884" spans="1:8" ht="15.6" x14ac:dyDescent="0.3">
      <c r="A884" s="174"/>
      <c r="B884" s="174"/>
      <c r="C884" s="159"/>
      <c r="D884" s="159"/>
      <c r="E884" s="159"/>
      <c r="F884" s="159"/>
      <c r="G884" s="159"/>
      <c r="H884" s="159"/>
    </row>
    <row r="885" spans="1:8" ht="14.4" x14ac:dyDescent="0.3">
      <c r="A885"/>
    </row>
    <row r="890" spans="1:8" ht="16.2" x14ac:dyDescent="0.3">
      <c r="A890" s="1" t="s">
        <v>688</v>
      </c>
      <c r="B890" s="1" t="s">
        <v>316</v>
      </c>
      <c r="C890" s="1">
        <f>NORMSINV(E881/2)</f>
        <v>-1.8807936081512509</v>
      </c>
    </row>
    <row r="893" spans="1:8" ht="16.2" x14ac:dyDescent="0.3">
      <c r="B893" s="1" t="s">
        <v>316</v>
      </c>
      <c r="C893" s="1" t="e">
        <f>(D882-0)/(SQRT((B883^2/B881)+(C883^2/C881)))</f>
        <v>#DIV/0!</v>
      </c>
      <c r="D893" s="1" t="s">
        <v>662</v>
      </c>
      <c r="E893" s="1" t="s">
        <v>676</v>
      </c>
    </row>
    <row r="897" spans="1:10" x14ac:dyDescent="0.3">
      <c r="A897" s="321" t="s">
        <v>690</v>
      </c>
      <c r="B897" s="321"/>
      <c r="C897" s="321"/>
      <c r="D897" s="321"/>
      <c r="E897" s="321"/>
      <c r="F897" s="321"/>
      <c r="G897" s="321"/>
      <c r="H897" s="321"/>
    </row>
    <row r="898" spans="1:10" ht="14.4" thickBot="1" x14ac:dyDescent="0.35"/>
    <row r="899" spans="1:10" ht="16.2" thickBot="1" x14ac:dyDescent="0.35">
      <c r="A899" s="318" t="s">
        <v>156</v>
      </c>
      <c r="B899" s="319"/>
      <c r="C899" s="319"/>
      <c r="D899" s="319"/>
      <c r="E899" s="319"/>
      <c r="F899" s="319"/>
      <c r="G899" s="319"/>
      <c r="H899" s="320"/>
    </row>
    <row r="900" spans="1:10" ht="62.4" x14ac:dyDescent="0.3">
      <c r="A900" s="174"/>
      <c r="B900" s="159" t="s">
        <v>692</v>
      </c>
      <c r="C900" s="159" t="s">
        <v>693</v>
      </c>
      <c r="D900" s="1" t="s">
        <v>682</v>
      </c>
      <c r="E900" s="159" t="s">
        <v>590</v>
      </c>
      <c r="F900" s="159"/>
      <c r="G900" s="159"/>
      <c r="H900" s="159"/>
    </row>
    <row r="901" spans="1:10" ht="15.6" x14ac:dyDescent="0.3">
      <c r="A901" s="159" t="s">
        <v>569</v>
      </c>
      <c r="B901" s="159">
        <v>10</v>
      </c>
      <c r="C901" s="159">
        <v>10</v>
      </c>
      <c r="E901" s="159">
        <v>0.2</v>
      </c>
      <c r="F901" s="159"/>
      <c r="G901" s="159"/>
      <c r="H901" s="159"/>
    </row>
    <row r="902" spans="1:10" ht="15.6" x14ac:dyDescent="0.3">
      <c r="A902" s="159" t="s">
        <v>575</v>
      </c>
      <c r="B902" s="159">
        <v>9.2539999999999996</v>
      </c>
      <c r="C902" s="159">
        <v>8.1669999999999998</v>
      </c>
      <c r="D902" s="159">
        <f>B902-C902</f>
        <v>1.0869999999999997</v>
      </c>
      <c r="E902" s="159"/>
      <c r="F902" s="159"/>
      <c r="G902" s="159"/>
      <c r="H902" s="159"/>
      <c r="J902"/>
    </row>
    <row r="903" spans="1:10" ht="15.6" x14ac:dyDescent="0.3">
      <c r="A903" s="159" t="s">
        <v>596</v>
      </c>
      <c r="B903" s="159">
        <v>2.1070000000000002</v>
      </c>
      <c r="C903" s="159">
        <v>1.681</v>
      </c>
      <c r="D903" s="159"/>
      <c r="E903" s="159"/>
      <c r="F903" s="159"/>
      <c r="G903" s="1" t="s">
        <v>316</v>
      </c>
      <c r="H903" s="1">
        <f>TINV(E901,18)</f>
        <v>1.3303909435699084</v>
      </c>
    </row>
    <row r="904" spans="1:10" ht="15.6" x14ac:dyDescent="0.3">
      <c r="A904" s="174"/>
      <c r="B904" s="174"/>
      <c r="C904" s="159"/>
      <c r="D904" s="159"/>
      <c r="E904" s="159"/>
      <c r="F904" s="159"/>
      <c r="G904" s="159"/>
      <c r="H904" s="159"/>
    </row>
    <row r="905" spans="1:10" ht="15.6" x14ac:dyDescent="0.3">
      <c r="A905" s="60"/>
      <c r="C905" s="1" t="s">
        <v>691</v>
      </c>
      <c r="D905" s="1">
        <f>(9*B903^2+9*C903^2)/18</f>
        <v>3.6326050000000003</v>
      </c>
      <c r="F905" s="1" t="s">
        <v>618</v>
      </c>
      <c r="G905" s="1" t="s">
        <v>316</v>
      </c>
      <c r="H905" s="1">
        <f>SQRT(D905)</f>
        <v>1.9059394009254336</v>
      </c>
    </row>
    <row r="909" spans="1:10" ht="14.4" x14ac:dyDescent="0.3">
      <c r="A909"/>
    </row>
    <row r="913" spans="1:8" x14ac:dyDescent="0.3">
      <c r="B913" s="1" t="s">
        <v>316</v>
      </c>
      <c r="C913" s="179">
        <f>D902/(H905*SQRT(1/5))</f>
        <v>1.2752797336379553</v>
      </c>
    </row>
    <row r="917" spans="1:8" x14ac:dyDescent="0.3">
      <c r="A917" s="321" t="s">
        <v>694</v>
      </c>
      <c r="B917" s="321"/>
      <c r="C917" s="321"/>
      <c r="D917" s="321"/>
      <c r="E917" s="321"/>
      <c r="F917" s="321"/>
      <c r="G917" s="321"/>
      <c r="H917" s="321"/>
    </row>
    <row r="935" spans="1:8" ht="14.4" thickBot="1" x14ac:dyDescent="0.35"/>
    <row r="936" spans="1:8" ht="16.2" thickBot="1" x14ac:dyDescent="0.35">
      <c r="A936" s="318" t="s">
        <v>163</v>
      </c>
      <c r="B936" s="319"/>
      <c r="C936" s="319"/>
      <c r="D936" s="319"/>
      <c r="E936" s="319"/>
      <c r="F936" s="319"/>
      <c r="G936" s="319"/>
      <c r="H936" s="320"/>
    </row>
    <row r="938" spans="1:8" x14ac:dyDescent="0.3">
      <c r="A938" s="1" t="s">
        <v>569</v>
      </c>
      <c r="B938" s="1">
        <v>368</v>
      </c>
      <c r="C938" s="1">
        <v>116</v>
      </c>
    </row>
    <row r="939" spans="1:8" x14ac:dyDescent="0.3">
      <c r="A939" s="1" t="s">
        <v>241</v>
      </c>
      <c r="B939" s="1">
        <f>92/B938</f>
        <v>0.25</v>
      </c>
      <c r="C939" s="1">
        <f>37/C938</f>
        <v>0.31896551724137934</v>
      </c>
    </row>
    <row r="940" spans="1:8" x14ac:dyDescent="0.3">
      <c r="A940" s="170" t="s">
        <v>579</v>
      </c>
      <c r="B940" s="1">
        <v>0.05</v>
      </c>
    </row>
    <row r="943" spans="1:8" ht="14.4" x14ac:dyDescent="0.3">
      <c r="A943"/>
    </row>
    <row r="950" spans="1:8" x14ac:dyDescent="0.3">
      <c r="A950" s="225" t="s">
        <v>695</v>
      </c>
      <c r="B950" s="225"/>
      <c r="C950" s="1" t="s">
        <v>316</v>
      </c>
      <c r="D950" s="1">
        <f>(B938*B939+C938*C939)/(B938+C938)</f>
        <v>0.26652892561983471</v>
      </c>
    </row>
    <row r="951" spans="1:8" ht="16.2" customHeight="1" x14ac:dyDescent="0.3">
      <c r="A951" s="225" t="s">
        <v>688</v>
      </c>
      <c r="B951" s="225"/>
      <c r="C951" s="1" t="s">
        <v>316</v>
      </c>
      <c r="D951" s="1">
        <f>NORMSINV(B940/2)</f>
        <v>-1.9599639845400538</v>
      </c>
    </row>
    <row r="953" spans="1:8" x14ac:dyDescent="0.3">
      <c r="C953" s="1" t="s">
        <v>316</v>
      </c>
      <c r="D953" s="179">
        <f>(B939-C939)/SQRT(D950*(1-D950)*((B938+C938)/(B938*C938)))</f>
        <v>-1.4648681986806511</v>
      </c>
    </row>
    <row r="957" spans="1:8" x14ac:dyDescent="0.3">
      <c r="A957" s="321" t="s">
        <v>696</v>
      </c>
      <c r="B957" s="321"/>
      <c r="C957" s="321"/>
      <c r="D957" s="321"/>
      <c r="E957" s="321"/>
      <c r="F957" s="321"/>
      <c r="G957" s="321"/>
      <c r="H957" s="321"/>
    </row>
    <row r="974" spans="1:8" ht="14.4" thickBot="1" x14ac:dyDescent="0.35"/>
    <row r="975" spans="1:8" ht="16.2" thickBot="1" x14ac:dyDescent="0.35">
      <c r="A975" s="318" t="s">
        <v>330</v>
      </c>
      <c r="B975" s="319"/>
      <c r="C975" s="319"/>
      <c r="D975" s="319"/>
      <c r="E975" s="319"/>
      <c r="F975" s="319"/>
      <c r="G975" s="319"/>
      <c r="H975" s="320"/>
    </row>
    <row r="977" spans="1:4" x14ac:dyDescent="0.3">
      <c r="A977" s="1" t="s">
        <v>569</v>
      </c>
      <c r="B977" s="1">
        <v>381</v>
      </c>
      <c r="C977" s="1">
        <v>166</v>
      </c>
    </row>
    <row r="978" spans="1:4" x14ac:dyDescent="0.3">
      <c r="A978" s="1" t="s">
        <v>241</v>
      </c>
      <c r="B978" s="1">
        <f>191/B977</f>
        <v>0.50131233595800528</v>
      </c>
      <c r="C978" s="1">
        <f>145/C977</f>
        <v>0.87349397590361444</v>
      </c>
    </row>
    <row r="979" spans="1:4" x14ac:dyDescent="0.3">
      <c r="A979" s="170" t="s">
        <v>579</v>
      </c>
      <c r="B979" s="1">
        <v>1E-3</v>
      </c>
    </row>
    <row r="982" spans="1:4" ht="14.4" x14ac:dyDescent="0.3">
      <c r="A982"/>
    </row>
    <row r="989" spans="1:4" x14ac:dyDescent="0.3">
      <c r="A989" s="225" t="s">
        <v>695</v>
      </c>
      <c r="B989" s="225"/>
      <c r="C989" s="1" t="s">
        <v>316</v>
      </c>
      <c r="D989" s="1">
        <f>(B977*B978+C977*C978)/(B977+C977)</f>
        <v>0.61425959780621575</v>
      </c>
    </row>
    <row r="990" spans="1:4" ht="18" customHeight="1" x14ac:dyDescent="0.3">
      <c r="A990" s="225" t="s">
        <v>688</v>
      </c>
      <c r="B990" s="225"/>
      <c r="C990" s="1" t="s">
        <v>316</v>
      </c>
      <c r="D990" s="1">
        <f>NORMSINV(B979/2)</f>
        <v>-3.2905267314918945</v>
      </c>
    </row>
    <row r="992" spans="1:4" x14ac:dyDescent="0.3">
      <c r="C992" s="1" t="s">
        <v>316</v>
      </c>
      <c r="D992" s="179">
        <f>(B978-C978)/SQRT(D989*(1-D989)*((B977+C977)/(B977*C977)))</f>
        <v>-8.2215608196419989</v>
      </c>
    </row>
    <row r="996" spans="1:8" x14ac:dyDescent="0.3">
      <c r="A996" s="321" t="s">
        <v>697</v>
      </c>
      <c r="B996" s="321"/>
      <c r="C996" s="321"/>
      <c r="D996" s="321"/>
      <c r="E996" s="321"/>
      <c r="F996" s="321"/>
      <c r="G996" s="321"/>
      <c r="H996" s="321"/>
    </row>
    <row r="1013" spans="1:8" ht="14.4" thickBot="1" x14ac:dyDescent="0.35"/>
    <row r="1014" spans="1:8" ht="16.2" thickBot="1" x14ac:dyDescent="0.35">
      <c r="A1014" s="318" t="s">
        <v>333</v>
      </c>
      <c r="B1014" s="319"/>
      <c r="C1014" s="319"/>
      <c r="D1014" s="319"/>
      <c r="E1014" s="319"/>
      <c r="F1014" s="319"/>
      <c r="G1014" s="319"/>
      <c r="H1014" s="320"/>
    </row>
    <row r="1016" spans="1:8" x14ac:dyDescent="0.3">
      <c r="A1016" s="1" t="s">
        <v>569</v>
      </c>
      <c r="B1016" s="1">
        <v>1200</v>
      </c>
      <c r="C1016" s="1">
        <f>1000</f>
        <v>1000</v>
      </c>
    </row>
    <row r="1017" spans="1:8" x14ac:dyDescent="0.3">
      <c r="A1017" s="1" t="s">
        <v>241</v>
      </c>
      <c r="B1017" s="1">
        <f>480/B1016</f>
        <v>0.4</v>
      </c>
      <c r="C1017" s="1">
        <f>790/C1016</f>
        <v>0.79</v>
      </c>
    </row>
    <row r="1018" spans="1:8" x14ac:dyDescent="0.3">
      <c r="A1018" s="170" t="s">
        <v>579</v>
      </c>
      <c r="B1018" s="1">
        <v>1E-3</v>
      </c>
    </row>
    <row r="1020" spans="1:8" ht="14.4" x14ac:dyDescent="0.3">
      <c r="A1020"/>
    </row>
    <row r="1021" spans="1:8" ht="14.4" x14ac:dyDescent="0.3">
      <c r="A1021"/>
    </row>
    <row r="1028" spans="1:8" x14ac:dyDescent="0.3">
      <c r="A1028" s="225" t="s">
        <v>695</v>
      </c>
      <c r="B1028" s="225"/>
      <c r="C1028" s="1" t="s">
        <v>316</v>
      </c>
      <c r="D1028" s="1">
        <f>(B1016*B1017+C1016*C1017)/(B1016+C1016)</f>
        <v>0.57727272727272727</v>
      </c>
    </row>
    <row r="1029" spans="1:8" ht="18" customHeight="1" x14ac:dyDescent="0.3">
      <c r="A1029" s="225" t="s">
        <v>688</v>
      </c>
      <c r="B1029" s="225"/>
      <c r="C1029" s="1" t="s">
        <v>316</v>
      </c>
      <c r="D1029" s="1">
        <f>NORMSINV(B1018)</f>
        <v>-3.0902323061678132</v>
      </c>
    </row>
    <row r="1031" spans="1:8" x14ac:dyDescent="0.3">
      <c r="C1031" s="1" t="s">
        <v>316</v>
      </c>
      <c r="D1031" s="1">
        <f>(B1017-C1017)/SQRT(D1028*(1-D1028)*((B1016+C1016)/(B1016*C1016)))</f>
        <v>-18.438400146140662</v>
      </c>
    </row>
    <row r="1035" spans="1:8" x14ac:dyDescent="0.3">
      <c r="A1035" s="321" t="s">
        <v>698</v>
      </c>
      <c r="B1035" s="321"/>
      <c r="C1035" s="321"/>
      <c r="D1035" s="321"/>
      <c r="E1035" s="321"/>
      <c r="F1035" s="321"/>
      <c r="G1035" s="321"/>
      <c r="H1035" s="321"/>
    </row>
    <row r="1066" spans="1:8" ht="14.4" thickBot="1" x14ac:dyDescent="0.35"/>
    <row r="1067" spans="1:8" ht="16.2" thickBot="1" x14ac:dyDescent="0.35">
      <c r="A1067" s="318" t="s">
        <v>341</v>
      </c>
      <c r="B1067" s="319"/>
      <c r="C1067" s="319"/>
      <c r="D1067" s="319"/>
      <c r="E1067" s="319"/>
      <c r="F1067" s="319"/>
      <c r="G1067" s="319"/>
      <c r="H1067" s="320"/>
    </row>
    <row r="1068" spans="1:8" ht="14.4" x14ac:dyDescent="0.3">
      <c r="A1068"/>
      <c r="B1068" s="1">
        <f>114.09</f>
        <v>114.09</v>
      </c>
    </row>
    <row r="1069" spans="1:8" ht="14.4" x14ac:dyDescent="0.3">
      <c r="A1069"/>
      <c r="B1069" s="1">
        <v>16.079999999999998</v>
      </c>
    </row>
    <row r="1070" spans="1:8" ht="14.4" x14ac:dyDescent="0.3">
      <c r="A1070"/>
      <c r="B1070" s="1">
        <f>FINV(B1071,3,6)</f>
        <v>4.7570626630894131</v>
      </c>
    </row>
    <row r="1071" spans="1:8" x14ac:dyDescent="0.3">
      <c r="A1071" s="1" t="s">
        <v>579</v>
      </c>
      <c r="B1071" s="1">
        <v>0.05</v>
      </c>
    </row>
    <row r="1072" spans="1:8" ht="13.95" customHeight="1" x14ac:dyDescent="0.3">
      <c r="A1072" s="1" t="s">
        <v>804</v>
      </c>
      <c r="B1072" s="179">
        <f>B1068/B1069</f>
        <v>7.0951492537313445</v>
      </c>
      <c r="C1072" s="1" t="s">
        <v>662</v>
      </c>
      <c r="E1072" s="321" t="s">
        <v>805</v>
      </c>
      <c r="F1072" s="321"/>
      <c r="G1072" s="321"/>
      <c r="H1072" s="321"/>
    </row>
    <row r="1073" spans="1:8" x14ac:dyDescent="0.3">
      <c r="E1073" s="321"/>
      <c r="F1073" s="321"/>
      <c r="G1073" s="321"/>
      <c r="H1073" s="321"/>
    </row>
    <row r="1074" spans="1:8" ht="14.4" thickBot="1" x14ac:dyDescent="0.35"/>
    <row r="1075" spans="1:8" ht="16.2" thickBot="1" x14ac:dyDescent="0.35">
      <c r="A1075" s="318" t="s">
        <v>343</v>
      </c>
      <c r="B1075" s="319"/>
      <c r="C1075" s="319"/>
      <c r="D1075" s="319"/>
      <c r="E1075" s="319"/>
      <c r="F1075" s="319"/>
      <c r="G1075" s="319"/>
      <c r="H1075" s="320"/>
    </row>
    <row r="1076" spans="1:8" ht="39.6" customHeight="1" x14ac:dyDescent="0.3">
      <c r="A1076" s="174"/>
      <c r="B1076" s="159" t="s">
        <v>692</v>
      </c>
      <c r="C1076" s="159" t="s">
        <v>693</v>
      </c>
      <c r="D1076" s="1" t="s">
        <v>682</v>
      </c>
      <c r="E1076" s="159" t="s">
        <v>590</v>
      </c>
      <c r="F1076" s="159"/>
      <c r="G1076" s="159"/>
      <c r="H1076" s="159"/>
    </row>
    <row r="1077" spans="1:8" ht="15.6" x14ac:dyDescent="0.3">
      <c r="A1077" s="159" t="s">
        <v>569</v>
      </c>
      <c r="B1077" s="159">
        <v>10</v>
      </c>
      <c r="C1077" s="159">
        <v>10</v>
      </c>
      <c r="E1077" s="159">
        <v>0.1</v>
      </c>
      <c r="F1077" s="159"/>
      <c r="G1077" s="159"/>
      <c r="H1077" s="159"/>
    </row>
    <row r="1078" spans="1:8" ht="15.6" x14ac:dyDescent="0.3">
      <c r="A1078" s="159" t="s">
        <v>575</v>
      </c>
      <c r="B1078" s="159">
        <v>9.2539999999999996</v>
      </c>
      <c r="C1078" s="159">
        <v>8.1669999999999998</v>
      </c>
      <c r="D1078" s="159">
        <f>B1078-C1078</f>
        <v>1.0869999999999997</v>
      </c>
      <c r="E1078" s="159"/>
      <c r="F1078" s="159"/>
      <c r="G1078" s="159"/>
      <c r="H1078" s="159"/>
    </row>
    <row r="1079" spans="1:8" ht="15.6" x14ac:dyDescent="0.3">
      <c r="A1079" s="159" t="s">
        <v>596</v>
      </c>
      <c r="B1079" s="159">
        <v>2.1070000000000002</v>
      </c>
      <c r="C1079" s="159">
        <v>1.681</v>
      </c>
      <c r="D1079" s="159"/>
      <c r="E1079" s="159"/>
      <c r="F1079" s="159"/>
    </row>
    <row r="1080" spans="1:8" ht="15.6" x14ac:dyDescent="0.3">
      <c r="A1080" s="174"/>
      <c r="B1080" s="174"/>
      <c r="C1080" s="159"/>
      <c r="D1080" s="159"/>
      <c r="E1080" s="159"/>
      <c r="F1080" s="159"/>
      <c r="G1080" s="159"/>
      <c r="H1080" s="159"/>
    </row>
    <row r="1081" spans="1:8" ht="14.4" x14ac:dyDescent="0.3">
      <c r="A1081"/>
      <c r="B1081" s="1">
        <f>B1079^2</f>
        <v>4.4394490000000006</v>
      </c>
    </row>
    <row r="1082" spans="1:8" ht="14.4" x14ac:dyDescent="0.3">
      <c r="A1082"/>
      <c r="B1082" s="1">
        <f>C1079^2</f>
        <v>2.825761</v>
      </c>
    </row>
    <row r="1083" spans="1:8" ht="14.4" x14ac:dyDescent="0.3">
      <c r="A1083"/>
      <c r="B1083" s="1">
        <f>FINV(B1084,9,9)</f>
        <v>2.4403404377094704</v>
      </c>
    </row>
    <row r="1084" spans="1:8" x14ac:dyDescent="0.3">
      <c r="A1084" s="1" t="s">
        <v>579</v>
      </c>
      <c r="B1084" s="1">
        <f>E1077</f>
        <v>0.1</v>
      </c>
    </row>
    <row r="1085" spans="1:8" ht="13.95" customHeight="1" x14ac:dyDescent="0.3">
      <c r="A1085" s="1" t="s">
        <v>804</v>
      </c>
      <c r="B1085" s="179">
        <f>B1081/B1082</f>
        <v>1.5710631578537606</v>
      </c>
      <c r="C1085" s="1" t="s">
        <v>656</v>
      </c>
      <c r="E1085" s="321" t="s">
        <v>806</v>
      </c>
      <c r="F1085" s="321"/>
      <c r="G1085" s="321"/>
      <c r="H1085" s="321"/>
    </row>
    <row r="1086" spans="1:8" x14ac:dyDescent="0.3">
      <c r="E1086" s="321"/>
      <c r="F1086" s="321"/>
      <c r="G1086" s="321"/>
      <c r="H1086" s="321"/>
    </row>
    <row r="1098" ht="13.95" customHeight="1" x14ac:dyDescent="0.3"/>
    <row r="1110" spans="1:8" ht="14.4" thickBot="1" x14ac:dyDescent="0.35"/>
    <row r="1111" spans="1:8" ht="16.2" thickBot="1" x14ac:dyDescent="0.35">
      <c r="A1111" s="318" t="s">
        <v>352</v>
      </c>
      <c r="B1111" s="319"/>
      <c r="C1111" s="319"/>
      <c r="D1111" s="319"/>
      <c r="E1111" s="319"/>
      <c r="F1111" s="319"/>
      <c r="G1111" s="319"/>
      <c r="H1111" s="320"/>
    </row>
    <row r="1112" spans="1:8" x14ac:dyDescent="0.25">
      <c r="A1112" s="1" t="s">
        <v>651</v>
      </c>
      <c r="B1112" s="1">
        <v>3</v>
      </c>
      <c r="C1112" s="181"/>
    </row>
    <row r="1113" spans="1:8" x14ac:dyDescent="0.3">
      <c r="A1113" s="1" t="s">
        <v>652</v>
      </c>
      <c r="B1113" s="1">
        <v>50</v>
      </c>
    </row>
    <row r="1114" spans="1:8" x14ac:dyDescent="0.3">
      <c r="A1114" s="1" t="s">
        <v>569</v>
      </c>
      <c r="B1114" s="1">
        <v>9</v>
      </c>
    </row>
    <row r="1115" spans="1:8" x14ac:dyDescent="0.3">
      <c r="A1115" s="1" t="s">
        <v>629</v>
      </c>
      <c r="B1115" s="1">
        <v>48.2</v>
      </c>
      <c r="C1115" s="1">
        <v>49</v>
      </c>
    </row>
    <row r="1116" spans="1:8" x14ac:dyDescent="0.3">
      <c r="A1116" s="1" t="s">
        <v>579</v>
      </c>
      <c r="B1116" s="1">
        <v>0.1</v>
      </c>
    </row>
    <row r="1118" spans="1:8" ht="14.4" customHeight="1" x14ac:dyDescent="0.3">
      <c r="A1118"/>
      <c r="C1118" s="1" t="s">
        <v>808</v>
      </c>
      <c r="D1118" s="1">
        <f>B1121*1+B1113</f>
        <v>48.718448434455397</v>
      </c>
      <c r="E1118" s="231" t="s">
        <v>809</v>
      </c>
      <c r="F1118" s="231"/>
      <c r="G1118" s="231"/>
      <c r="H1118" s="231"/>
    </row>
    <row r="1119" spans="1:8" x14ac:dyDescent="0.3">
      <c r="E1119" s="231"/>
      <c r="F1119" s="231"/>
      <c r="G1119" s="231"/>
      <c r="H1119" s="231"/>
    </row>
    <row r="1120" spans="1:8" x14ac:dyDescent="0.3">
      <c r="E1120" s="231"/>
      <c r="F1120" s="231"/>
      <c r="G1120" s="231"/>
      <c r="H1120" s="231"/>
    </row>
    <row r="1121" spans="1:8" ht="13.95" customHeight="1" x14ac:dyDescent="0.3">
      <c r="A1121" s="1" t="s">
        <v>807</v>
      </c>
      <c r="B1121" s="1">
        <f>NORMSINV(B1116)</f>
        <v>-1.2815515655446006</v>
      </c>
      <c r="E1121" s="198"/>
      <c r="F1121" s="198"/>
      <c r="G1121" s="198"/>
      <c r="H1121" s="198"/>
    </row>
    <row r="1124" spans="1:8" x14ac:dyDescent="0.3">
      <c r="B1124" s="1" t="s">
        <v>316</v>
      </c>
      <c r="C1124" s="1">
        <f>(D1118-C1115)/(B1112/SQRT(B1114))</f>
        <v>-0.28155156554460348</v>
      </c>
    </row>
    <row r="1127" spans="1:8" ht="14.4" x14ac:dyDescent="0.3">
      <c r="A1127" s="170" t="s">
        <v>810</v>
      </c>
      <c r="B1127" s="1" t="s">
        <v>316</v>
      </c>
      <c r="C1127" s="179">
        <f>NORMSDIST(C1124)</f>
        <v>0.38914369164535978</v>
      </c>
      <c r="F1127"/>
    </row>
    <row r="1144" spans="1:8" ht="14.4" thickBot="1" x14ac:dyDescent="0.35"/>
    <row r="1145" spans="1:8" ht="16.2" thickBot="1" x14ac:dyDescent="0.35">
      <c r="A1145" s="318" t="s">
        <v>357</v>
      </c>
      <c r="B1145" s="319"/>
      <c r="C1145" s="319"/>
      <c r="D1145" s="319"/>
      <c r="E1145" s="319"/>
      <c r="F1145" s="319"/>
      <c r="G1145" s="319"/>
      <c r="H1145" s="320"/>
    </row>
    <row r="1148" spans="1:8" x14ac:dyDescent="0.25">
      <c r="A1148" s="1" t="s">
        <v>618</v>
      </c>
      <c r="B1148" s="1">
        <v>1.32</v>
      </c>
      <c r="D1148" s="181"/>
    </row>
    <row r="1149" spans="1:8" x14ac:dyDescent="0.3">
      <c r="A1149" s="1" t="s">
        <v>655</v>
      </c>
      <c r="B1149" s="1">
        <v>4</v>
      </c>
    </row>
    <row r="1150" spans="1:8" x14ac:dyDescent="0.3">
      <c r="A1150" s="1" t="s">
        <v>569</v>
      </c>
      <c r="B1150" s="1">
        <v>1562</v>
      </c>
    </row>
    <row r="1151" spans="1:8" x14ac:dyDescent="0.3">
      <c r="A1151" s="1" t="s">
        <v>629</v>
      </c>
      <c r="B1151" s="1">
        <v>4.2699999999999996</v>
      </c>
    </row>
    <row r="1152" spans="1:8" x14ac:dyDescent="0.3">
      <c r="A1152" s="1" t="s">
        <v>579</v>
      </c>
      <c r="B1152" s="1">
        <v>0.01</v>
      </c>
    </row>
    <row r="1154" spans="1:5" x14ac:dyDescent="0.3">
      <c r="B1154" s="1" t="s">
        <v>811</v>
      </c>
      <c r="C1154" s="1" t="s">
        <v>812</v>
      </c>
      <c r="D1154" s="1" t="s">
        <v>808</v>
      </c>
      <c r="E1154" s="1">
        <f>C1157*(B1148/SQRT(B1150))+B1149</f>
        <v>3.9139698864709849</v>
      </c>
    </row>
    <row r="1157" spans="1:5" ht="18.600000000000001" x14ac:dyDescent="0.3">
      <c r="A1157" s="1" t="s">
        <v>675</v>
      </c>
      <c r="B1157" s="1" t="s">
        <v>316</v>
      </c>
      <c r="C1157" s="1">
        <f>NORMSINV(B1152/2)</f>
        <v>-2.5758293035488999</v>
      </c>
    </row>
    <row r="1159" spans="1:5" ht="14.4" x14ac:dyDescent="0.3">
      <c r="A1159"/>
    </row>
    <row r="1162" spans="1:5" x14ac:dyDescent="0.3">
      <c r="B1162" s="1" t="s">
        <v>316</v>
      </c>
      <c r="C1162" s="1">
        <f>(E1154-3.95)/(B1148/SQRT(B1150))</f>
        <v>-1.0787783304148557</v>
      </c>
    </row>
    <row r="1165" spans="1:5" x14ac:dyDescent="0.3">
      <c r="A1165" s="170" t="s">
        <v>814</v>
      </c>
      <c r="B1165" s="1" t="s">
        <v>316</v>
      </c>
      <c r="C1165" s="1">
        <f>NORMSDIST(C1162)</f>
        <v>0.14034327855220882</v>
      </c>
    </row>
    <row r="1167" spans="1:5" x14ac:dyDescent="0.3">
      <c r="A1167" s="1" t="s">
        <v>810</v>
      </c>
      <c r="B1167" s="1" t="s">
        <v>316</v>
      </c>
      <c r="C1167" s="179">
        <f>1-C1165</f>
        <v>0.85965672144779115</v>
      </c>
    </row>
    <row r="1200" ht="14.4" thickBot="1" x14ac:dyDescent="0.35"/>
    <row r="1201" spans="1:8" ht="16.2" thickBot="1" x14ac:dyDescent="0.35">
      <c r="A1201" s="318" t="s">
        <v>359</v>
      </c>
      <c r="B1201" s="319"/>
      <c r="C1201" s="319"/>
      <c r="D1201" s="319"/>
      <c r="E1201" s="319"/>
      <c r="F1201" s="319"/>
      <c r="G1201" s="319"/>
      <c r="H1201" s="320"/>
    </row>
    <row r="1202" spans="1:8" x14ac:dyDescent="0.3">
      <c r="A1202" s="1" t="s">
        <v>241</v>
      </c>
      <c r="B1202" s="179">
        <v>0.17299999999999999</v>
      </c>
    </row>
    <row r="1203" spans="1:8" x14ac:dyDescent="0.3">
      <c r="A1203" s="1" t="s">
        <v>669</v>
      </c>
      <c r="B1203" s="1">
        <v>0.25</v>
      </c>
      <c r="C1203" s="1">
        <f>1-B1203</f>
        <v>0.75</v>
      </c>
    </row>
    <row r="1204" spans="1:8" x14ac:dyDescent="0.3">
      <c r="A1204" s="1" t="s">
        <v>569</v>
      </c>
      <c r="B1204" s="1">
        <v>998</v>
      </c>
    </row>
    <row r="1205" spans="1:8" x14ac:dyDescent="0.3">
      <c r="A1205" s="1" t="s">
        <v>579</v>
      </c>
      <c r="B1205" s="1">
        <v>0.05</v>
      </c>
    </row>
    <row r="1207" spans="1:8" ht="16.2" x14ac:dyDescent="0.3">
      <c r="A1207" s="1" t="s">
        <v>676</v>
      </c>
      <c r="B1207" s="1" t="s">
        <v>316</v>
      </c>
      <c r="C1207" s="1">
        <f>NORMSINV(B1205)</f>
        <v>-1.6448536269514726</v>
      </c>
    </row>
    <row r="1209" spans="1:8" x14ac:dyDescent="0.3">
      <c r="B1209" s="1" t="s">
        <v>316</v>
      </c>
      <c r="C1209" s="1">
        <f>C1207</f>
        <v>-1.6448536269514726</v>
      </c>
    </row>
    <row r="1212" spans="1:8" x14ac:dyDescent="0.3">
      <c r="A1212" s="1" t="s">
        <v>815</v>
      </c>
      <c r="B1212" s="1" t="s">
        <v>316</v>
      </c>
      <c r="C1212" s="1">
        <f>C1209*SQRT(B1203*C1203/B1204)+B1203</f>
        <v>0.22745435719119514</v>
      </c>
    </row>
    <row r="1214" spans="1:8" ht="14.4" x14ac:dyDescent="0.3">
      <c r="A1214"/>
    </row>
    <row r="1218" spans="1:3" x14ac:dyDescent="0.3">
      <c r="B1218" s="1" t="s">
        <v>316</v>
      </c>
      <c r="C1218" s="1">
        <f>(C1212-0.2)/SQRT(0.2*0.8/B1204)</f>
        <v>2.1682859666741434</v>
      </c>
    </row>
    <row r="1221" spans="1:3" x14ac:dyDescent="0.3">
      <c r="A1221" s="1" t="s">
        <v>810</v>
      </c>
      <c r="B1221" s="1" t="s">
        <v>316</v>
      </c>
      <c r="C1221" s="179">
        <f>NORMSDIST(C1218)</f>
        <v>0.98493153225499708</v>
      </c>
    </row>
    <row r="1241" spans="1:8" ht="14.4" thickBot="1" x14ac:dyDescent="0.35"/>
    <row r="1242" spans="1:8" ht="16.2" thickBot="1" x14ac:dyDescent="0.35">
      <c r="A1242" s="318" t="s">
        <v>362</v>
      </c>
      <c r="B1242" s="319"/>
      <c r="C1242" s="319"/>
      <c r="D1242" s="319"/>
      <c r="E1242" s="319"/>
      <c r="F1242" s="319"/>
      <c r="G1242" s="319"/>
      <c r="H1242" s="320"/>
    </row>
    <row r="1243" spans="1:8" x14ac:dyDescent="0.3">
      <c r="A1243" s="170" t="s">
        <v>652</v>
      </c>
      <c r="B1243" s="1" t="s">
        <v>316</v>
      </c>
      <c r="C1243" s="1">
        <v>32</v>
      </c>
    </row>
    <row r="1244" spans="1:8" ht="14.4" customHeight="1" x14ac:dyDescent="0.3">
      <c r="A1244" s="199" t="s">
        <v>651</v>
      </c>
      <c r="B1244" s="1" t="s">
        <v>316</v>
      </c>
      <c r="C1244" s="1">
        <v>3</v>
      </c>
    </row>
    <row r="1245" spans="1:8" x14ac:dyDescent="0.3">
      <c r="A1245" s="1" t="s">
        <v>575</v>
      </c>
      <c r="B1245" s="1" t="s">
        <v>316</v>
      </c>
      <c r="C1245" s="1">
        <v>30.8</v>
      </c>
    </row>
    <row r="1246" spans="1:8" x14ac:dyDescent="0.3">
      <c r="A1246" s="1" t="s">
        <v>569</v>
      </c>
      <c r="B1246" s="1" t="s">
        <v>316</v>
      </c>
      <c r="C1246" s="1">
        <v>36</v>
      </c>
      <c r="D1246" s="1">
        <v>9</v>
      </c>
    </row>
    <row r="1248" spans="1:8" ht="14.4" x14ac:dyDescent="0.3">
      <c r="A1248"/>
      <c r="B1248" s="1" t="s">
        <v>316</v>
      </c>
      <c r="C1248" s="1">
        <f>(C1245-C1243)/(C1244/SQRT(C1246))</f>
        <v>-2.3999999999999986</v>
      </c>
      <c r="D1248" s="1">
        <f>(C1245-C1243)/(C1244/SQRT(D1246))</f>
        <v>-1.1999999999999993</v>
      </c>
    </row>
    <row r="1250" spans="1:7" x14ac:dyDescent="0.3">
      <c r="C1250" s="1">
        <f>NORMSDIST(C1248)</f>
        <v>8.1975359245961572E-3</v>
      </c>
      <c r="D1250" s="1">
        <f>NORMSDIST(D1248)</f>
        <v>0.1150696702217084</v>
      </c>
    </row>
    <row r="1252" spans="1:7" x14ac:dyDescent="0.3">
      <c r="C1252" s="1" t="s">
        <v>53</v>
      </c>
      <c r="D1252" s="1" t="s">
        <v>54</v>
      </c>
    </row>
    <row r="1253" spans="1:7" x14ac:dyDescent="0.3">
      <c r="A1253" s="1" t="s">
        <v>579</v>
      </c>
      <c r="B1253" s="1" t="s">
        <v>316</v>
      </c>
      <c r="C1253" s="200">
        <v>8.1999999999999998E-4</v>
      </c>
      <c r="D1253" s="200">
        <v>0.115</v>
      </c>
    </row>
    <row r="1259" spans="1:7" x14ac:dyDescent="0.3">
      <c r="A1259" s="1" t="s">
        <v>569</v>
      </c>
      <c r="B1259" s="1">
        <v>36</v>
      </c>
    </row>
    <row r="1260" spans="1:7" x14ac:dyDescent="0.3">
      <c r="A1260" s="1" t="s">
        <v>807</v>
      </c>
      <c r="B1260" s="1">
        <f>C1248</f>
        <v>-2.3999999999999986</v>
      </c>
    </row>
    <row r="1261" spans="1:7" x14ac:dyDescent="0.3">
      <c r="G1261" s="1" t="s">
        <v>55</v>
      </c>
    </row>
    <row r="1262" spans="1:7" x14ac:dyDescent="0.3">
      <c r="A1262" s="1" t="s">
        <v>808</v>
      </c>
      <c r="B1262" s="1">
        <f>B1260*(C1244/SQRT(C1246))+C1243</f>
        <v>30.8</v>
      </c>
      <c r="C1262" s="1" t="s">
        <v>787</v>
      </c>
      <c r="E1262" s="1" t="s">
        <v>316</v>
      </c>
      <c r="F1262" s="1">
        <f>-(B1262-31)/(C1244/SQRT(C1246))</f>
        <v>0.39999999999999858</v>
      </c>
      <c r="G1262" s="179">
        <f>NORMSDIST(F1262)</f>
        <v>0.65542174161032363</v>
      </c>
    </row>
    <row r="1283" spans="1:8" ht="14.4" thickBot="1" x14ac:dyDescent="0.35"/>
    <row r="1284" spans="1:8" ht="16.2" thickBot="1" x14ac:dyDescent="0.35">
      <c r="A1284" s="318" t="s">
        <v>365</v>
      </c>
      <c r="B1284" s="319"/>
      <c r="C1284" s="319"/>
      <c r="D1284" s="319"/>
      <c r="E1284" s="319"/>
      <c r="F1284" s="319"/>
      <c r="G1284" s="319"/>
      <c r="H1284" s="320"/>
    </row>
    <row r="1359" spans="1:8" ht="14.4" thickBot="1" x14ac:dyDescent="0.35"/>
    <row r="1360" spans="1:8" ht="16.2" thickBot="1" x14ac:dyDescent="0.35">
      <c r="A1360" s="318" t="s">
        <v>380</v>
      </c>
      <c r="B1360" s="319"/>
      <c r="C1360" s="319"/>
      <c r="D1360" s="319"/>
      <c r="E1360" s="319"/>
      <c r="F1360" s="319"/>
      <c r="G1360" s="319"/>
      <c r="H1360" s="320"/>
    </row>
  </sheetData>
  <mergeCells count="80">
    <mergeCell ref="A801:H801"/>
    <mergeCell ref="A817:H817"/>
    <mergeCell ref="A1067:H1067"/>
    <mergeCell ref="A1028:B1028"/>
    <mergeCell ref="A1029:B1029"/>
    <mergeCell ref="A1035:H1035"/>
    <mergeCell ref="A975:H975"/>
    <mergeCell ref="A989:B989"/>
    <mergeCell ref="A990:B990"/>
    <mergeCell ref="A996:H996"/>
    <mergeCell ref="A1014:H1014"/>
    <mergeCell ref="A819:H819"/>
    <mergeCell ref="A837:H837"/>
    <mergeCell ref="A839:H839"/>
    <mergeCell ref="A857:H857"/>
    <mergeCell ref="A859:H859"/>
    <mergeCell ref="A758:H758"/>
    <mergeCell ref="A760:H760"/>
    <mergeCell ref="A781:H781"/>
    <mergeCell ref="A783:H783"/>
    <mergeCell ref="A799:H799"/>
    <mergeCell ref="A701:H701"/>
    <mergeCell ref="A716:H716"/>
    <mergeCell ref="A718:H718"/>
    <mergeCell ref="A733:H733"/>
    <mergeCell ref="A735:H735"/>
    <mergeCell ref="A629:H629"/>
    <mergeCell ref="A648:H648"/>
    <mergeCell ref="A611:H611"/>
    <mergeCell ref="A627:H627"/>
    <mergeCell ref="A633:H633"/>
    <mergeCell ref="A699:H699"/>
    <mergeCell ref="A650:H650"/>
    <mergeCell ref="A665:H665"/>
    <mergeCell ref="A667:H667"/>
    <mergeCell ref="A682:H682"/>
    <mergeCell ref="A684:H684"/>
    <mergeCell ref="B588:F588"/>
    <mergeCell ref="A590:H590"/>
    <mergeCell ref="A606:H606"/>
    <mergeCell ref="A608:H608"/>
    <mergeCell ref="A538:H538"/>
    <mergeCell ref="A561:E561"/>
    <mergeCell ref="A563:H563"/>
    <mergeCell ref="B587:F587"/>
    <mergeCell ref="A41:H41"/>
    <mergeCell ref="A1:H1"/>
    <mergeCell ref="C12:H12"/>
    <mergeCell ref="A14:H14"/>
    <mergeCell ref="C25:H25"/>
    <mergeCell ref="A27:H27"/>
    <mergeCell ref="A38:C38"/>
    <mergeCell ref="A37:C37"/>
    <mergeCell ref="F37:H37"/>
    <mergeCell ref="F38:H39"/>
    <mergeCell ref="A67:H67"/>
    <mergeCell ref="A78:H78"/>
    <mergeCell ref="A80:H80"/>
    <mergeCell ref="A52:E52"/>
    <mergeCell ref="A54:H54"/>
    <mergeCell ref="A65:E65"/>
    <mergeCell ref="E1085:H1086"/>
    <mergeCell ref="A1111:H1111"/>
    <mergeCell ref="E1072:H1073"/>
    <mergeCell ref="A1075:H1075"/>
    <mergeCell ref="A877:H877"/>
    <mergeCell ref="A879:H879"/>
    <mergeCell ref="A897:H897"/>
    <mergeCell ref="A899:H899"/>
    <mergeCell ref="A917:H917"/>
    <mergeCell ref="A936:H936"/>
    <mergeCell ref="A950:B950"/>
    <mergeCell ref="A951:B951"/>
    <mergeCell ref="A957:H957"/>
    <mergeCell ref="A1201:H1201"/>
    <mergeCell ref="A1242:H1242"/>
    <mergeCell ref="A1284:H1284"/>
    <mergeCell ref="A1360:H1360"/>
    <mergeCell ref="E1118:H1120"/>
    <mergeCell ref="A1145:H114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08"/>
  <sheetViews>
    <sheetView topLeftCell="A256" workbookViewId="0">
      <selection activeCell="A272" sqref="A272:H272"/>
    </sheetView>
  </sheetViews>
  <sheetFormatPr defaultColWidth="8.88671875" defaultRowHeight="13.8" x14ac:dyDescent="0.3"/>
  <cols>
    <col min="1" max="1" width="11.33203125" style="1" customWidth="1"/>
    <col min="2" max="2" width="11.5546875" style="1" bestFit="1" customWidth="1"/>
    <col min="3" max="5" width="12.33203125" style="1" bestFit="1" customWidth="1"/>
    <col min="6" max="6" width="11.5546875" style="1" bestFit="1" customWidth="1"/>
    <col min="7" max="7" width="8.88671875" style="1"/>
    <col min="8" max="8" width="11.5546875" style="1" bestFit="1" customWidth="1"/>
    <col min="9" max="10" width="8.88671875" style="1"/>
    <col min="11" max="11" width="11.5546875" style="1" bestFit="1" customWidth="1"/>
    <col min="12" max="16384" width="8.88671875" style="1"/>
  </cols>
  <sheetData>
    <row r="1" spans="1:8" ht="16.2" thickBot="1" x14ac:dyDescent="0.35">
      <c r="A1" s="326" t="s">
        <v>0</v>
      </c>
      <c r="B1" s="327"/>
      <c r="C1" s="327"/>
      <c r="D1" s="327"/>
      <c r="E1" s="327"/>
      <c r="F1" s="327"/>
      <c r="G1" s="327"/>
      <c r="H1" s="328"/>
    </row>
    <row r="3" spans="1:8" x14ac:dyDescent="0.3">
      <c r="A3" s="1">
        <v>1</v>
      </c>
      <c r="B3" s="1">
        <v>6.8</v>
      </c>
      <c r="C3" s="1">
        <v>7.1</v>
      </c>
      <c r="D3" s="1">
        <f>B3-C3</f>
        <v>-0.29999999999999982</v>
      </c>
      <c r="F3" s="1" t="s">
        <v>593</v>
      </c>
      <c r="G3" s="1">
        <f>COUNTIF($D$3:$D$14,"&gt;0")</f>
        <v>1</v>
      </c>
      <c r="H3" s="1">
        <f>G3/11</f>
        <v>9.0909090909090912E-2</v>
      </c>
    </row>
    <row r="4" spans="1:8" x14ac:dyDescent="0.3">
      <c r="A4" s="1">
        <v>2</v>
      </c>
      <c r="B4" s="1">
        <v>9.8000000000000007</v>
      </c>
      <c r="C4" s="1">
        <v>12.3</v>
      </c>
      <c r="D4" s="1">
        <f t="shared" ref="D4:D14" si="0">B4-C4</f>
        <v>-2.5</v>
      </c>
      <c r="F4" s="1" t="s">
        <v>605</v>
      </c>
      <c r="G4" s="1">
        <f>COUNTIF($D$3:$D$14,"&lt;0")</f>
        <v>10</v>
      </c>
      <c r="H4" s="1">
        <f>G4/11</f>
        <v>0.90909090909090906</v>
      </c>
    </row>
    <row r="5" spans="1:8" x14ac:dyDescent="0.3">
      <c r="A5" s="1">
        <v>3</v>
      </c>
      <c r="B5" s="1">
        <v>2.1</v>
      </c>
      <c r="C5" s="1">
        <v>5.3</v>
      </c>
      <c r="D5" s="1">
        <f t="shared" si="0"/>
        <v>-3.1999999999999997</v>
      </c>
      <c r="F5" s="1">
        <v>0</v>
      </c>
      <c r="G5" s="1">
        <f>COUNTIF($D$3:$D$14,"=0")</f>
        <v>1</v>
      </c>
    </row>
    <row r="6" spans="1:8" x14ac:dyDescent="0.3">
      <c r="A6" s="1">
        <v>4</v>
      </c>
      <c r="B6" s="1">
        <v>6.2</v>
      </c>
      <c r="C6" s="1">
        <v>6.8</v>
      </c>
      <c r="D6" s="1">
        <f t="shared" si="0"/>
        <v>-0.59999999999999964</v>
      </c>
    </row>
    <row r="7" spans="1:8" x14ac:dyDescent="0.3">
      <c r="A7" s="1">
        <v>5</v>
      </c>
      <c r="B7" s="1">
        <v>7.1</v>
      </c>
      <c r="C7" s="1">
        <v>7.2</v>
      </c>
      <c r="D7" s="1">
        <f t="shared" si="0"/>
        <v>-0.10000000000000053</v>
      </c>
      <c r="E7" s="182"/>
      <c r="F7" s="1">
        <f>BINOMDIST(2,11,0.5,2)</f>
        <v>3.2714843750000014E-2</v>
      </c>
    </row>
    <row r="8" spans="1:8" x14ac:dyDescent="0.3">
      <c r="A8" s="1">
        <v>6</v>
      </c>
      <c r="B8" s="1">
        <v>6.5</v>
      </c>
      <c r="C8" s="1">
        <v>6.2</v>
      </c>
      <c r="D8" s="1">
        <f t="shared" si="0"/>
        <v>0.29999999999999982</v>
      </c>
    </row>
    <row r="9" spans="1:8" x14ac:dyDescent="0.3">
      <c r="A9" s="1">
        <v>7</v>
      </c>
      <c r="B9" s="1">
        <v>9.3000000000000007</v>
      </c>
      <c r="C9" s="1">
        <v>10.1</v>
      </c>
      <c r="D9" s="1">
        <f t="shared" si="0"/>
        <v>-0.79999999999999893</v>
      </c>
    </row>
    <row r="10" spans="1:8" x14ac:dyDescent="0.3">
      <c r="A10" s="1">
        <v>8</v>
      </c>
      <c r="B10" s="1">
        <v>1</v>
      </c>
      <c r="C10" s="1">
        <v>2.7</v>
      </c>
      <c r="D10" s="1">
        <f t="shared" si="0"/>
        <v>-1.7000000000000002</v>
      </c>
    </row>
    <row r="11" spans="1:8" x14ac:dyDescent="0.3">
      <c r="A11" s="1">
        <v>9</v>
      </c>
      <c r="B11" s="1">
        <v>-0.2</v>
      </c>
      <c r="C11" s="1">
        <v>1.3</v>
      </c>
      <c r="D11" s="1">
        <f t="shared" si="0"/>
        <v>-1.5</v>
      </c>
    </row>
    <row r="12" spans="1:8" x14ac:dyDescent="0.3">
      <c r="A12" s="1">
        <v>10</v>
      </c>
      <c r="B12" s="1">
        <v>9.6</v>
      </c>
      <c r="C12" s="1">
        <v>9.8000000000000007</v>
      </c>
      <c r="D12" s="1">
        <f t="shared" si="0"/>
        <v>-0.20000000000000107</v>
      </c>
    </row>
    <row r="13" spans="1:8" x14ac:dyDescent="0.3">
      <c r="A13" s="1">
        <v>11</v>
      </c>
      <c r="B13" s="1">
        <v>12</v>
      </c>
      <c r="C13" s="1">
        <v>12</v>
      </c>
      <c r="D13" s="1">
        <f t="shared" si="0"/>
        <v>0</v>
      </c>
    </row>
    <row r="14" spans="1:8" x14ac:dyDescent="0.3">
      <c r="A14" s="1">
        <v>12</v>
      </c>
      <c r="B14" s="1">
        <v>6.3</v>
      </c>
      <c r="C14" s="1">
        <v>8.9</v>
      </c>
      <c r="D14" s="1">
        <f t="shared" si="0"/>
        <v>-2.6000000000000005</v>
      </c>
    </row>
    <row r="16" spans="1:8" ht="13.95" customHeight="1" x14ac:dyDescent="0.3">
      <c r="A16" s="329" t="s">
        <v>699</v>
      </c>
      <c r="B16" s="329"/>
      <c r="C16" s="329"/>
      <c r="D16" s="329"/>
      <c r="E16" s="329"/>
      <c r="F16" s="329"/>
      <c r="G16" s="329"/>
      <c r="H16" s="329"/>
    </row>
    <row r="17" spans="1:10" x14ac:dyDescent="0.3">
      <c r="A17" s="329"/>
      <c r="B17" s="329"/>
      <c r="C17" s="329"/>
      <c r="D17" s="329"/>
      <c r="E17" s="329"/>
      <c r="F17" s="329"/>
      <c r="G17" s="329"/>
      <c r="H17" s="329"/>
    </row>
    <row r="18" spans="1:10" x14ac:dyDescent="0.3">
      <c r="A18" s="329"/>
      <c r="B18" s="329"/>
      <c r="C18" s="329"/>
      <c r="D18" s="329"/>
      <c r="E18" s="329"/>
      <c r="F18" s="329"/>
      <c r="G18" s="329"/>
      <c r="H18" s="329"/>
    </row>
    <row r="19" spans="1:10" ht="14.4" thickBot="1" x14ac:dyDescent="0.35"/>
    <row r="20" spans="1:10" ht="16.2" thickBot="1" x14ac:dyDescent="0.35">
      <c r="A20" s="326" t="s">
        <v>7</v>
      </c>
      <c r="B20" s="327"/>
      <c r="C20" s="327"/>
      <c r="D20" s="327"/>
      <c r="E20" s="327"/>
      <c r="F20" s="327"/>
      <c r="G20" s="327"/>
      <c r="H20" s="328"/>
    </row>
    <row r="22" spans="1:10" x14ac:dyDescent="0.3">
      <c r="A22" s="1">
        <v>1</v>
      </c>
      <c r="B22" s="1">
        <v>62</v>
      </c>
      <c r="C22" s="1">
        <v>69</v>
      </c>
      <c r="D22" s="1">
        <f>C22-B22</f>
        <v>7</v>
      </c>
      <c r="F22" s="1" t="s">
        <v>593</v>
      </c>
      <c r="G22" s="1">
        <f>COUNTIF(D22:D31,"&gt;0")</f>
        <v>8</v>
      </c>
      <c r="H22" s="1">
        <f>1-H23</f>
        <v>0.88888888888888884</v>
      </c>
    </row>
    <row r="23" spans="1:10" ht="14.4" x14ac:dyDescent="0.3">
      <c r="A23" s="1">
        <v>2</v>
      </c>
      <c r="B23" s="1">
        <v>63</v>
      </c>
      <c r="C23" s="1">
        <v>72</v>
      </c>
      <c r="D23" s="1">
        <f t="shared" ref="D23:D31" si="1">C23-B23</f>
        <v>9</v>
      </c>
      <c r="F23" s="1" t="s">
        <v>605</v>
      </c>
      <c r="G23" s="1">
        <f>COUNTIF(D22:D31,"&lt;0")</f>
        <v>1</v>
      </c>
      <c r="H23" s="1">
        <f>G23/9</f>
        <v>0.1111111111111111</v>
      </c>
      <c r="J23"/>
    </row>
    <row r="24" spans="1:10" x14ac:dyDescent="0.3">
      <c r="A24" s="1">
        <v>3</v>
      </c>
      <c r="B24" s="1">
        <v>84</v>
      </c>
      <c r="C24" s="1">
        <v>80</v>
      </c>
      <c r="D24" s="1">
        <f t="shared" si="1"/>
        <v>-4</v>
      </c>
      <c r="F24" s="1">
        <v>0</v>
      </c>
      <c r="G24" s="1">
        <f>COUNTIF(D22:D31,"=0")</f>
        <v>1</v>
      </c>
    </row>
    <row r="25" spans="1:10" x14ac:dyDescent="0.3">
      <c r="A25" s="1">
        <v>4</v>
      </c>
      <c r="B25" s="1">
        <v>70</v>
      </c>
      <c r="C25" s="1">
        <v>70</v>
      </c>
      <c r="D25" s="1">
        <f t="shared" si="1"/>
        <v>0</v>
      </c>
    </row>
    <row r="26" spans="1:10" x14ac:dyDescent="0.3">
      <c r="A26" s="1">
        <v>5</v>
      </c>
      <c r="B26" s="1">
        <v>60</v>
      </c>
      <c r="C26" s="1">
        <v>69</v>
      </c>
      <c r="D26" s="1">
        <f t="shared" si="1"/>
        <v>9</v>
      </c>
      <c r="E26" s="182"/>
      <c r="F26" s="1">
        <f>BINOMDIST(3,9,0.5,2)</f>
        <v>0.25390625</v>
      </c>
      <c r="H26" s="1">
        <f>(H23-0.5)/SQRT(H23*H22/9)</f>
        <v>-3.7123106012293747</v>
      </c>
    </row>
    <row r="27" spans="1:10" x14ac:dyDescent="0.3">
      <c r="A27" s="1">
        <v>6</v>
      </c>
      <c r="B27" s="1">
        <v>53</v>
      </c>
      <c r="C27" s="1">
        <v>61</v>
      </c>
      <c r="D27" s="1">
        <f t="shared" si="1"/>
        <v>8</v>
      </c>
    </row>
    <row r="28" spans="1:10" x14ac:dyDescent="0.3">
      <c r="A28" s="1">
        <v>7</v>
      </c>
      <c r="B28" s="1">
        <v>49</v>
      </c>
      <c r="C28" s="1">
        <v>63</v>
      </c>
      <c r="D28" s="1">
        <f t="shared" si="1"/>
        <v>14</v>
      </c>
    </row>
    <row r="29" spans="1:10" x14ac:dyDescent="0.3">
      <c r="A29" s="1">
        <v>8</v>
      </c>
      <c r="B29" s="1">
        <v>58</v>
      </c>
      <c r="C29" s="1">
        <v>59</v>
      </c>
      <c r="D29" s="1">
        <f t="shared" si="1"/>
        <v>1</v>
      </c>
    </row>
    <row r="30" spans="1:10" x14ac:dyDescent="0.3">
      <c r="A30" s="1">
        <v>9</v>
      </c>
      <c r="B30" s="1">
        <v>83</v>
      </c>
      <c r="C30" s="1">
        <v>87</v>
      </c>
      <c r="D30" s="1">
        <f t="shared" si="1"/>
        <v>4</v>
      </c>
    </row>
    <row r="31" spans="1:10" x14ac:dyDescent="0.3">
      <c r="A31" s="1">
        <v>10</v>
      </c>
      <c r="B31" s="1">
        <v>92</v>
      </c>
      <c r="C31" s="1">
        <v>98</v>
      </c>
      <c r="D31" s="1">
        <f t="shared" si="1"/>
        <v>6</v>
      </c>
    </row>
    <row r="33" spans="1:8" x14ac:dyDescent="0.3">
      <c r="A33" s="330" t="s">
        <v>700</v>
      </c>
      <c r="B33" s="330"/>
      <c r="C33" s="330"/>
      <c r="D33" s="330"/>
      <c r="E33" s="330"/>
      <c r="F33" s="330"/>
      <c r="G33" s="330"/>
      <c r="H33" s="330"/>
    </row>
    <row r="34" spans="1:8" x14ac:dyDescent="0.3">
      <c r="A34" s="330"/>
      <c r="B34" s="330"/>
      <c r="C34" s="330"/>
      <c r="D34" s="330"/>
      <c r="E34" s="330"/>
      <c r="F34" s="330"/>
      <c r="G34" s="330"/>
      <c r="H34" s="330"/>
    </row>
    <row r="35" spans="1:8" x14ac:dyDescent="0.3">
      <c r="A35" s="330"/>
      <c r="B35" s="330"/>
      <c r="C35" s="330"/>
      <c r="D35" s="330"/>
      <c r="E35" s="330"/>
      <c r="F35" s="330"/>
      <c r="G35" s="330"/>
      <c r="H35" s="330"/>
    </row>
    <row r="36" spans="1:8" ht="14.4" thickBot="1" x14ac:dyDescent="0.35"/>
    <row r="37" spans="1:8" ht="16.2" thickBot="1" x14ac:dyDescent="0.35">
      <c r="A37" s="326" t="s">
        <v>11</v>
      </c>
      <c r="B37" s="327"/>
      <c r="C37" s="327"/>
      <c r="D37" s="327"/>
      <c r="E37" s="327"/>
      <c r="F37" s="327"/>
      <c r="G37" s="327"/>
      <c r="H37" s="328"/>
    </row>
    <row r="39" spans="1:8" x14ac:dyDescent="0.3">
      <c r="A39" s="1" t="s">
        <v>569</v>
      </c>
      <c r="B39" s="1">
        <v>11</v>
      </c>
    </row>
    <row r="40" spans="1:8" x14ac:dyDescent="0.3">
      <c r="A40" s="1" t="s">
        <v>241</v>
      </c>
      <c r="B40" s="1">
        <f>7/B39</f>
        <v>0.63636363636363635</v>
      </c>
    </row>
    <row r="41" spans="1:8" x14ac:dyDescent="0.3">
      <c r="A41" s="1" t="s">
        <v>584</v>
      </c>
      <c r="B41" s="1">
        <f>4/B39</f>
        <v>0.36363636363636365</v>
      </c>
    </row>
    <row r="42" spans="1:8" x14ac:dyDescent="0.3">
      <c r="A42" s="1" t="s">
        <v>579</v>
      </c>
      <c r="B42" s="1">
        <f>(1-0.827)*2</f>
        <v>0.34600000000000009</v>
      </c>
    </row>
    <row r="44" spans="1:8" ht="14.4" x14ac:dyDescent="0.3">
      <c r="A44"/>
    </row>
    <row r="48" spans="1:8" x14ac:dyDescent="0.3">
      <c r="C48" s="1" t="s">
        <v>316</v>
      </c>
      <c r="D48" s="1">
        <f>(B40-0.5)/SQRT(B40*B41/B39)</f>
        <v>0.94017475579201304</v>
      </c>
    </row>
    <row r="52" spans="1:8" ht="16.2" x14ac:dyDescent="0.3">
      <c r="A52" s="1" t="s">
        <v>701</v>
      </c>
      <c r="B52" s="1" t="s">
        <v>316</v>
      </c>
      <c r="C52" s="1">
        <f>NORMSINV(B42/2)</f>
        <v>-0.94237633259795017</v>
      </c>
    </row>
    <row r="54" spans="1:8" x14ac:dyDescent="0.3">
      <c r="A54" s="325" t="s">
        <v>702</v>
      </c>
      <c r="B54" s="325"/>
      <c r="C54" s="325"/>
      <c r="D54" s="325"/>
      <c r="E54" s="325"/>
      <c r="F54" s="325"/>
      <c r="G54" s="325"/>
      <c r="H54" s="325"/>
    </row>
    <row r="55" spans="1:8" ht="14.4" thickBot="1" x14ac:dyDescent="0.35"/>
    <row r="56" spans="1:8" ht="16.2" thickBot="1" x14ac:dyDescent="0.35">
      <c r="A56" s="326" t="s">
        <v>15</v>
      </c>
      <c r="B56" s="327"/>
      <c r="C56" s="327"/>
      <c r="D56" s="327"/>
      <c r="E56" s="327"/>
      <c r="F56" s="327"/>
      <c r="G56" s="327"/>
      <c r="H56" s="328"/>
    </row>
    <row r="58" spans="1:8" x14ac:dyDescent="0.3">
      <c r="A58" s="1" t="s">
        <v>569</v>
      </c>
      <c r="B58" s="1">
        <f>39+18</f>
        <v>57</v>
      </c>
    </row>
    <row r="59" spans="1:8" x14ac:dyDescent="0.3">
      <c r="A59" s="1" t="s">
        <v>241</v>
      </c>
      <c r="B59" s="1">
        <f>39/B58</f>
        <v>0.68421052631578949</v>
      </c>
    </row>
    <row r="60" spans="1:8" x14ac:dyDescent="0.3">
      <c r="A60" s="1" t="s">
        <v>584</v>
      </c>
      <c r="B60" s="1">
        <f>1-B59</f>
        <v>0.31578947368421051</v>
      </c>
    </row>
    <row r="61" spans="1:8" x14ac:dyDescent="0.3">
      <c r="A61" s="1" t="s">
        <v>579</v>
      </c>
      <c r="B61" s="1">
        <v>0.2</v>
      </c>
    </row>
    <row r="63" spans="1:8" ht="14.4" x14ac:dyDescent="0.3">
      <c r="A63"/>
    </row>
    <row r="67" spans="1:12" x14ac:dyDescent="0.3">
      <c r="C67" s="1" t="s">
        <v>316</v>
      </c>
      <c r="D67" s="1">
        <f>(B59-0.5)/SQRT(B59*B60/B58)</f>
        <v>2.9919764499278867</v>
      </c>
    </row>
    <row r="71" spans="1:12" ht="16.2" x14ac:dyDescent="0.3">
      <c r="A71" s="1" t="s">
        <v>701</v>
      </c>
      <c r="B71" s="1" t="s">
        <v>316</v>
      </c>
      <c r="C71" s="1">
        <f>NORMSINV(B61/2)</f>
        <v>-1.2815515655446006</v>
      </c>
    </row>
    <row r="73" spans="1:12" x14ac:dyDescent="0.3">
      <c r="A73" s="325" t="s">
        <v>702</v>
      </c>
      <c r="B73" s="325"/>
      <c r="C73" s="325"/>
      <c r="D73" s="325"/>
      <c r="E73" s="325"/>
      <c r="F73" s="325"/>
      <c r="G73" s="325"/>
      <c r="H73" s="325"/>
    </row>
    <row r="77" spans="1:12" x14ac:dyDescent="0.3">
      <c r="K77" s="1" t="s">
        <v>703</v>
      </c>
    </row>
    <row r="78" spans="1:12" x14ac:dyDescent="0.3">
      <c r="K78" s="1">
        <v>1</v>
      </c>
      <c r="L78" s="1">
        <v>1</v>
      </c>
    </row>
    <row r="79" spans="1:12" x14ac:dyDescent="0.3">
      <c r="K79" s="1">
        <v>1</v>
      </c>
      <c r="L79" s="1">
        <v>2</v>
      </c>
    </row>
    <row r="80" spans="1:12" x14ac:dyDescent="0.3">
      <c r="K80" s="1">
        <v>2</v>
      </c>
      <c r="L80" s="1">
        <v>3</v>
      </c>
    </row>
    <row r="81" spans="1:14" x14ac:dyDescent="0.3">
      <c r="K81" s="1">
        <v>3</v>
      </c>
      <c r="L81" s="1">
        <v>4</v>
      </c>
      <c r="N81" s="1" t="s">
        <v>636</v>
      </c>
    </row>
    <row r="82" spans="1:14" x14ac:dyDescent="0.3">
      <c r="K82" s="1">
        <v>4</v>
      </c>
      <c r="L82" s="1">
        <v>5</v>
      </c>
    </row>
    <row r="83" spans="1:14" x14ac:dyDescent="0.3">
      <c r="K83" s="1">
        <v>5</v>
      </c>
      <c r="L83" s="1">
        <v>6</v>
      </c>
    </row>
    <row r="84" spans="1:14" x14ac:dyDescent="0.3">
      <c r="K84" s="1">
        <v>6</v>
      </c>
      <c r="L84" s="1">
        <v>7</v>
      </c>
    </row>
    <row r="95" spans="1:14" ht="14.4" thickBot="1" x14ac:dyDescent="0.35"/>
    <row r="96" spans="1:14" ht="16.2" thickBot="1" x14ac:dyDescent="0.35">
      <c r="A96" s="326" t="s">
        <v>19</v>
      </c>
      <c r="B96" s="327"/>
      <c r="C96" s="327"/>
      <c r="D96" s="327"/>
      <c r="E96" s="327"/>
      <c r="F96" s="327"/>
      <c r="G96" s="327"/>
      <c r="H96" s="328"/>
    </row>
    <row r="98" spans="1:8" x14ac:dyDescent="0.3">
      <c r="A98" s="1" t="s">
        <v>569</v>
      </c>
      <c r="B98" s="1">
        <v>49</v>
      </c>
    </row>
    <row r="99" spans="1:8" x14ac:dyDescent="0.3">
      <c r="A99" s="1" t="s">
        <v>241</v>
      </c>
      <c r="B99" s="1">
        <f>20/B98</f>
        <v>0.40816326530612246</v>
      </c>
    </row>
    <row r="100" spans="1:8" x14ac:dyDescent="0.3">
      <c r="A100" s="1" t="s">
        <v>584</v>
      </c>
      <c r="B100" s="1">
        <f>1-B99</f>
        <v>0.59183673469387754</v>
      </c>
    </row>
    <row r="101" spans="1:8" x14ac:dyDescent="0.3">
      <c r="A101" s="1" t="s">
        <v>579</v>
      </c>
      <c r="B101" s="1">
        <v>0.19</v>
      </c>
    </row>
    <row r="103" spans="1:8" ht="14.4" x14ac:dyDescent="0.3">
      <c r="A103"/>
    </row>
    <row r="107" spans="1:8" x14ac:dyDescent="0.3">
      <c r="C107" s="1" t="s">
        <v>316</v>
      </c>
      <c r="D107" s="183">
        <f>(B99-0.5)/SQRT(B99*B100/B98)</f>
        <v>-1.3079663076964045</v>
      </c>
    </row>
    <row r="110" spans="1:8" ht="16.2" x14ac:dyDescent="0.3">
      <c r="A110" s="1" t="s">
        <v>701</v>
      </c>
      <c r="B110" s="1" t="s">
        <v>316</v>
      </c>
      <c r="C110" s="1">
        <f>NORMSINV(B101/2)</f>
        <v>-1.3105791121681303</v>
      </c>
    </row>
    <row r="112" spans="1:8" x14ac:dyDescent="0.3">
      <c r="A112" s="325" t="s">
        <v>702</v>
      </c>
      <c r="B112" s="325"/>
      <c r="C112" s="325"/>
      <c r="D112" s="325"/>
      <c r="E112" s="325"/>
      <c r="F112" s="325"/>
      <c r="G112" s="325"/>
      <c r="H112" s="325"/>
    </row>
    <row r="113" spans="1:8" ht="14.4" thickBot="1" x14ac:dyDescent="0.35"/>
    <row r="114" spans="1:8" ht="16.2" thickBot="1" x14ac:dyDescent="0.35">
      <c r="A114" s="326" t="s">
        <v>22</v>
      </c>
      <c r="B114" s="327"/>
      <c r="C114" s="327"/>
      <c r="D114" s="327"/>
      <c r="E114" s="327"/>
      <c r="F114" s="327"/>
      <c r="G114" s="327"/>
      <c r="H114" s="328"/>
    </row>
    <row r="115" spans="1:8" x14ac:dyDescent="0.3">
      <c r="A115" s="1">
        <v>1</v>
      </c>
      <c r="B115" s="1">
        <v>6.8</v>
      </c>
      <c r="C115" s="1">
        <v>7.1</v>
      </c>
      <c r="D115" s="1">
        <f>B115-C115</f>
        <v>-0.29999999999999982</v>
      </c>
      <c r="F115" s="1" t="s">
        <v>593</v>
      </c>
      <c r="G115" s="1">
        <f>COUNTIF($D$3:$D$14,"&gt;0")</f>
        <v>1</v>
      </c>
      <c r="H115" s="1">
        <f>G115/11</f>
        <v>9.0909090909090912E-2</v>
      </c>
    </row>
    <row r="116" spans="1:8" x14ac:dyDescent="0.3">
      <c r="A116" s="1">
        <v>2</v>
      </c>
      <c r="B116" s="1">
        <v>9.8000000000000007</v>
      </c>
      <c r="C116" s="1">
        <v>12.3</v>
      </c>
      <c r="D116" s="1">
        <f t="shared" ref="D116:D126" si="2">B116-C116</f>
        <v>-2.5</v>
      </c>
      <c r="F116" s="1" t="s">
        <v>605</v>
      </c>
      <c r="G116" s="1">
        <f>COUNTIF($D$3:$D$14,"&lt;0")</f>
        <v>10</v>
      </c>
      <c r="H116" s="1">
        <f>G116/11</f>
        <v>0.90909090909090906</v>
      </c>
    </row>
    <row r="117" spans="1:8" x14ac:dyDescent="0.3">
      <c r="A117" s="1">
        <v>3</v>
      </c>
      <c r="B117" s="1">
        <v>2.1</v>
      </c>
      <c r="C117" s="1">
        <v>5.3</v>
      </c>
      <c r="D117" s="1">
        <f t="shared" si="2"/>
        <v>-3.1999999999999997</v>
      </c>
      <c r="F117" s="1">
        <v>0</v>
      </c>
      <c r="G117" s="1">
        <f>COUNTIF($D$3:$D$14,"=0")</f>
        <v>1</v>
      </c>
    </row>
    <row r="118" spans="1:8" x14ac:dyDescent="0.3">
      <c r="A118" s="1">
        <v>4</v>
      </c>
      <c r="B118" s="1">
        <v>6.2</v>
      </c>
      <c r="C118" s="1">
        <v>6.8</v>
      </c>
      <c r="D118" s="1">
        <f t="shared" si="2"/>
        <v>-0.59999999999999964</v>
      </c>
    </row>
    <row r="119" spans="1:8" x14ac:dyDescent="0.3">
      <c r="A119" s="1">
        <v>5</v>
      </c>
      <c r="B119" s="1">
        <v>7.1</v>
      </c>
      <c r="C119" s="1">
        <v>7.2</v>
      </c>
      <c r="D119" s="1">
        <f t="shared" si="2"/>
        <v>-0.10000000000000053</v>
      </c>
      <c r="E119" s="182"/>
    </row>
    <row r="120" spans="1:8" x14ac:dyDescent="0.3">
      <c r="A120" s="1">
        <v>6</v>
      </c>
      <c r="B120" s="1">
        <v>6.5</v>
      </c>
      <c r="C120" s="1">
        <v>6.2</v>
      </c>
      <c r="D120" s="1">
        <f t="shared" si="2"/>
        <v>0.29999999999999982</v>
      </c>
    </row>
    <row r="121" spans="1:8" x14ac:dyDescent="0.3">
      <c r="A121" s="1">
        <v>7</v>
      </c>
      <c r="B121" s="1">
        <v>9.3000000000000007</v>
      </c>
      <c r="C121" s="1">
        <v>10.1</v>
      </c>
      <c r="D121" s="1">
        <f t="shared" si="2"/>
        <v>-0.79999999999999893</v>
      </c>
    </row>
    <row r="122" spans="1:8" x14ac:dyDescent="0.3">
      <c r="A122" s="1">
        <v>8</v>
      </c>
      <c r="B122" s="1">
        <v>1</v>
      </c>
      <c r="C122" s="1">
        <v>2.7</v>
      </c>
      <c r="D122" s="1">
        <f t="shared" si="2"/>
        <v>-1.7000000000000002</v>
      </c>
    </row>
    <row r="123" spans="1:8" x14ac:dyDescent="0.3">
      <c r="A123" s="1">
        <v>9</v>
      </c>
      <c r="B123" s="1">
        <v>-0.2</v>
      </c>
      <c r="C123" s="1">
        <v>1.3</v>
      </c>
      <c r="D123" s="1">
        <f t="shared" si="2"/>
        <v>-1.5</v>
      </c>
    </row>
    <row r="124" spans="1:8" x14ac:dyDescent="0.3">
      <c r="A124" s="1">
        <v>10</v>
      </c>
      <c r="B124" s="1">
        <v>9.6</v>
      </c>
      <c r="C124" s="1">
        <v>9.8000000000000007</v>
      </c>
      <c r="D124" s="1">
        <f t="shared" si="2"/>
        <v>-0.20000000000000107</v>
      </c>
    </row>
    <row r="125" spans="1:8" x14ac:dyDescent="0.3">
      <c r="A125" s="1">
        <v>11</v>
      </c>
      <c r="B125" s="1">
        <v>12</v>
      </c>
      <c r="C125" s="1">
        <v>12</v>
      </c>
      <c r="D125" s="1">
        <f t="shared" si="2"/>
        <v>0</v>
      </c>
    </row>
    <row r="126" spans="1:8" x14ac:dyDescent="0.3">
      <c r="A126" s="1">
        <v>12</v>
      </c>
      <c r="B126" s="1">
        <v>6.3</v>
      </c>
      <c r="C126" s="1">
        <v>8.9</v>
      </c>
      <c r="D126" s="1">
        <f t="shared" si="2"/>
        <v>-2.6000000000000005</v>
      </c>
    </row>
    <row r="127" spans="1:8" ht="14.4" thickBot="1" x14ac:dyDescent="0.35"/>
    <row r="128" spans="1:8" ht="16.2" thickBot="1" x14ac:dyDescent="0.35">
      <c r="A128" s="326" t="s">
        <v>25</v>
      </c>
      <c r="B128" s="327"/>
      <c r="C128" s="327"/>
      <c r="D128" s="327"/>
      <c r="E128" s="327"/>
      <c r="F128" s="327"/>
      <c r="G128" s="327"/>
      <c r="H128" s="328"/>
    </row>
    <row r="129" spans="1:7" s="5" customFormat="1" ht="27.6" customHeight="1" x14ac:dyDescent="0.3">
      <c r="A129" s="5" t="s">
        <v>91</v>
      </c>
      <c r="B129" s="5" t="s">
        <v>704</v>
      </c>
      <c r="C129" s="5" t="s">
        <v>705</v>
      </c>
      <c r="D129" s="5" t="s">
        <v>597</v>
      </c>
      <c r="E129" s="5" t="s">
        <v>38</v>
      </c>
      <c r="F129" s="5" t="s">
        <v>707</v>
      </c>
      <c r="G129" s="5" t="s">
        <v>708</v>
      </c>
    </row>
    <row r="130" spans="1:7" x14ac:dyDescent="0.3">
      <c r="A130" s="1" t="s">
        <v>53</v>
      </c>
      <c r="B130" s="1">
        <v>2</v>
      </c>
      <c r="C130" s="1">
        <v>6</v>
      </c>
      <c r="D130" s="1">
        <f t="shared" ref="D130:D139" si="3">C130-B130</f>
        <v>4</v>
      </c>
      <c r="E130" s="1">
        <f t="shared" ref="E130:E139" si="4">ABS(D130)</f>
        <v>4</v>
      </c>
      <c r="F130" s="1">
        <v>7.5</v>
      </c>
    </row>
    <row r="131" spans="1:7" x14ac:dyDescent="0.3">
      <c r="A131" s="1" t="s">
        <v>54</v>
      </c>
      <c r="B131" s="1">
        <v>3</v>
      </c>
      <c r="C131" s="1">
        <v>5</v>
      </c>
      <c r="D131" s="1">
        <f t="shared" si="3"/>
        <v>2</v>
      </c>
      <c r="E131" s="1">
        <f t="shared" si="4"/>
        <v>2</v>
      </c>
      <c r="F131" s="1">
        <v>4</v>
      </c>
    </row>
    <row r="132" spans="1:7" x14ac:dyDescent="0.3">
      <c r="A132" s="1" t="s">
        <v>55</v>
      </c>
      <c r="B132" s="1">
        <v>7</v>
      </c>
      <c r="C132" s="1">
        <v>6</v>
      </c>
      <c r="D132" s="1">
        <f t="shared" si="3"/>
        <v>-1</v>
      </c>
      <c r="E132" s="1">
        <f t="shared" si="4"/>
        <v>1</v>
      </c>
      <c r="G132" s="1">
        <v>1.5</v>
      </c>
    </row>
    <row r="133" spans="1:7" x14ac:dyDescent="0.3">
      <c r="A133" s="1" t="s">
        <v>56</v>
      </c>
      <c r="B133" s="1">
        <v>8</v>
      </c>
      <c r="C133" s="1">
        <v>8</v>
      </c>
      <c r="D133" s="1">
        <f t="shared" si="3"/>
        <v>0</v>
      </c>
      <c r="E133" s="1">
        <f t="shared" si="4"/>
        <v>0</v>
      </c>
    </row>
    <row r="134" spans="1:7" x14ac:dyDescent="0.3">
      <c r="A134" s="1" t="s">
        <v>138</v>
      </c>
      <c r="B134" s="1">
        <v>7</v>
      </c>
      <c r="C134" s="1">
        <v>5</v>
      </c>
      <c r="D134" s="1">
        <f t="shared" si="3"/>
        <v>-2</v>
      </c>
      <c r="E134" s="1">
        <f t="shared" si="4"/>
        <v>2</v>
      </c>
      <c r="G134" s="1">
        <v>4</v>
      </c>
    </row>
    <row r="135" spans="1:7" x14ac:dyDescent="0.3">
      <c r="A135" s="1" t="s">
        <v>139</v>
      </c>
      <c r="B135" s="1">
        <v>4</v>
      </c>
      <c r="C135" s="1">
        <v>8</v>
      </c>
      <c r="D135" s="1">
        <f t="shared" si="3"/>
        <v>4</v>
      </c>
      <c r="E135" s="1">
        <f t="shared" si="4"/>
        <v>4</v>
      </c>
      <c r="F135" s="1">
        <v>7.5</v>
      </c>
    </row>
    <row r="136" spans="1:7" x14ac:dyDescent="0.3">
      <c r="A136" s="1" t="s">
        <v>141</v>
      </c>
      <c r="B136" s="1">
        <v>3</v>
      </c>
      <c r="C136" s="1">
        <v>9</v>
      </c>
      <c r="D136" s="1">
        <f t="shared" si="3"/>
        <v>6</v>
      </c>
      <c r="E136" s="1">
        <f t="shared" si="4"/>
        <v>6</v>
      </c>
      <c r="F136" s="1">
        <v>9</v>
      </c>
    </row>
    <row r="137" spans="1:7" x14ac:dyDescent="0.3">
      <c r="A137" s="1" t="s">
        <v>152</v>
      </c>
      <c r="B137" s="1">
        <v>4</v>
      </c>
      <c r="C137" s="1">
        <v>6</v>
      </c>
      <c r="D137" s="1">
        <f t="shared" si="3"/>
        <v>2</v>
      </c>
      <c r="E137" s="1">
        <f t="shared" si="4"/>
        <v>2</v>
      </c>
      <c r="F137" s="1">
        <v>4</v>
      </c>
    </row>
    <row r="138" spans="1:7" x14ac:dyDescent="0.3">
      <c r="A138" s="1" t="s">
        <v>153</v>
      </c>
      <c r="B138" s="1">
        <v>5</v>
      </c>
      <c r="C138" s="1">
        <v>4</v>
      </c>
      <c r="D138" s="1">
        <f t="shared" si="3"/>
        <v>-1</v>
      </c>
      <c r="E138" s="1">
        <f t="shared" si="4"/>
        <v>1</v>
      </c>
      <c r="G138" s="1">
        <v>1.5</v>
      </c>
    </row>
    <row r="139" spans="1:7" x14ac:dyDescent="0.3">
      <c r="A139" s="1" t="s">
        <v>706</v>
      </c>
      <c r="B139" s="1">
        <v>6</v>
      </c>
      <c r="C139" s="1">
        <v>9</v>
      </c>
      <c r="D139" s="1">
        <f t="shared" si="3"/>
        <v>3</v>
      </c>
      <c r="E139" s="1">
        <f t="shared" si="4"/>
        <v>3</v>
      </c>
      <c r="F139" s="1">
        <v>6</v>
      </c>
    </row>
    <row r="140" spans="1:7" x14ac:dyDescent="0.3">
      <c r="F140" s="1">
        <f>SUM(F130:F139)</f>
        <v>38</v>
      </c>
      <c r="G140" s="1">
        <f>SUM(G130:G139)</f>
        <v>7</v>
      </c>
    </row>
    <row r="141" spans="1:7" ht="15.6" x14ac:dyDescent="0.3">
      <c r="A141" s="184" t="s">
        <v>636</v>
      </c>
      <c r="D141" s="1" t="s">
        <v>316</v>
      </c>
      <c r="E141" s="1">
        <f>10*(10+1)/4</f>
        <v>27.5</v>
      </c>
    </row>
    <row r="142" spans="1:7" ht="15.6" x14ac:dyDescent="0.3">
      <c r="A142" s="185"/>
    </row>
    <row r="143" spans="1:7" ht="15.6" x14ac:dyDescent="0.3">
      <c r="A143" s="185"/>
      <c r="D143" s="1" t="s">
        <v>316</v>
      </c>
      <c r="E143" s="1">
        <f>G140</f>
        <v>7</v>
      </c>
    </row>
    <row r="144" spans="1:7" ht="15.6" x14ac:dyDescent="0.3">
      <c r="A144" s="185"/>
    </row>
    <row r="145" spans="1:8" ht="15.6" x14ac:dyDescent="0.3">
      <c r="A145" s="185"/>
      <c r="D145" s="1" t="s">
        <v>316</v>
      </c>
      <c r="E145" s="1">
        <f>10*11*21/24</f>
        <v>96.25</v>
      </c>
    </row>
    <row r="148" spans="1:8" ht="16.2" customHeight="1" x14ac:dyDescent="0.3">
      <c r="B148" s="225" t="s">
        <v>701</v>
      </c>
      <c r="C148" s="225"/>
      <c r="D148" s="1" t="s">
        <v>316</v>
      </c>
      <c r="E148" s="1">
        <f>NORMSINV(0.0183)</f>
        <v>-2.0901981908095135</v>
      </c>
    </row>
    <row r="151" spans="1:8" x14ac:dyDescent="0.3">
      <c r="D151" s="1" t="s">
        <v>316</v>
      </c>
      <c r="E151" s="1">
        <f>(E143-E141)/SQRT(E145)</f>
        <v>-2.0895534848942647</v>
      </c>
      <c r="F151" s="1" t="s">
        <v>656</v>
      </c>
      <c r="G151" s="1" t="str">
        <f>B148</f>
        <v>Zα/2</v>
      </c>
    </row>
    <row r="153" spans="1:8" ht="13.95" customHeight="1" x14ac:dyDescent="0.3">
      <c r="A153" s="225" t="s">
        <v>709</v>
      </c>
      <c r="B153" s="225"/>
      <c r="C153" s="225"/>
      <c r="D153" s="225"/>
      <c r="E153" s="225"/>
      <c r="F153" s="225"/>
      <c r="G153" s="225"/>
      <c r="H153" s="225"/>
    </row>
    <row r="154" spans="1:8" x14ac:dyDescent="0.3">
      <c r="A154" s="225"/>
      <c r="B154" s="225"/>
      <c r="C154" s="225"/>
      <c r="D154" s="225"/>
      <c r="E154" s="225"/>
      <c r="F154" s="225"/>
      <c r="G154" s="225"/>
      <c r="H154" s="225"/>
    </row>
    <row r="185" spans="1:8" ht="14.4" thickBot="1" x14ac:dyDescent="0.35"/>
    <row r="186" spans="1:8" ht="16.2" thickBot="1" x14ac:dyDescent="0.35">
      <c r="A186" s="326" t="s">
        <v>34</v>
      </c>
      <c r="B186" s="327"/>
      <c r="C186" s="327"/>
      <c r="D186" s="327"/>
      <c r="E186" s="327"/>
      <c r="F186" s="327"/>
      <c r="G186" s="327"/>
      <c r="H186" s="328"/>
    </row>
    <row r="187" spans="1:8" x14ac:dyDescent="0.3">
      <c r="A187" s="1" t="s">
        <v>569</v>
      </c>
      <c r="B187" s="1">
        <v>40</v>
      </c>
    </row>
    <row r="188" spans="1:8" x14ac:dyDescent="0.3">
      <c r="A188" s="1" t="s">
        <v>710</v>
      </c>
      <c r="B188" s="1">
        <v>281</v>
      </c>
    </row>
    <row r="190" spans="1:8" x14ac:dyDescent="0.3">
      <c r="D190" s="1" t="s">
        <v>316</v>
      </c>
      <c r="E190" s="1">
        <f>40*41/4</f>
        <v>410</v>
      </c>
    </row>
    <row r="191" spans="1:8" ht="14.4" x14ac:dyDescent="0.3">
      <c r="A191"/>
    </row>
    <row r="193" spans="1:8" x14ac:dyDescent="0.3">
      <c r="D193" s="1" t="s">
        <v>316</v>
      </c>
      <c r="E193" s="1">
        <f>40*41*81/24</f>
        <v>5535</v>
      </c>
    </row>
    <row r="196" spans="1:8" ht="19.95" customHeight="1" x14ac:dyDescent="0.3">
      <c r="A196" s="225" t="s">
        <v>701</v>
      </c>
      <c r="B196" s="225"/>
      <c r="D196" s="1" t="s">
        <v>316</v>
      </c>
      <c r="E196" s="1">
        <f>NORMSINV(0.0414)</f>
        <v>-1.7346658975943456</v>
      </c>
    </row>
    <row r="199" spans="1:8" x14ac:dyDescent="0.3">
      <c r="D199" s="1" t="s">
        <v>316</v>
      </c>
      <c r="E199" s="1">
        <f>(B188-E190)/SQRT(E193)</f>
        <v>-1.7339273528728505</v>
      </c>
    </row>
    <row r="202" spans="1:8" ht="13.95" customHeight="1" x14ac:dyDescent="0.3">
      <c r="A202" s="331" t="s">
        <v>711</v>
      </c>
      <c r="B202" s="332"/>
      <c r="C202" s="332"/>
      <c r="D202" s="332"/>
      <c r="E202" s="332"/>
      <c r="F202" s="332"/>
      <c r="G202" s="332"/>
      <c r="H202" s="333"/>
    </row>
    <row r="203" spans="1:8" ht="16.2" customHeight="1" x14ac:dyDescent="0.3">
      <c r="A203" s="334"/>
      <c r="B203" s="335"/>
      <c r="C203" s="335"/>
      <c r="D203" s="335"/>
      <c r="E203" s="335"/>
      <c r="F203" s="335"/>
      <c r="G203" s="335"/>
      <c r="H203" s="336"/>
    </row>
    <row r="231" spans="1:8" ht="14.4" thickBot="1" x14ac:dyDescent="0.35"/>
    <row r="232" spans="1:8" ht="16.2" thickBot="1" x14ac:dyDescent="0.35">
      <c r="A232" s="326" t="s">
        <v>45</v>
      </c>
      <c r="B232" s="327"/>
      <c r="C232" s="327"/>
      <c r="D232" s="327"/>
      <c r="E232" s="327"/>
      <c r="F232" s="327"/>
      <c r="G232" s="327"/>
      <c r="H232" s="328"/>
    </row>
    <row r="233" spans="1:8" x14ac:dyDescent="0.3">
      <c r="A233" s="1" t="s">
        <v>569</v>
      </c>
      <c r="B233" s="1">
        <v>80</v>
      </c>
    </row>
    <row r="234" spans="1:8" x14ac:dyDescent="0.3">
      <c r="A234" s="1" t="s">
        <v>710</v>
      </c>
      <c r="B234" s="1">
        <v>1502</v>
      </c>
    </row>
    <row r="235" spans="1:8" x14ac:dyDescent="0.3">
      <c r="A235" s="1" t="s">
        <v>590</v>
      </c>
      <c r="B235" s="1">
        <v>0.56859999999999999</v>
      </c>
    </row>
    <row r="237" spans="1:8" x14ac:dyDescent="0.3">
      <c r="D237" s="1" t="s">
        <v>316</v>
      </c>
      <c r="E237" s="1">
        <f>80*81/4</f>
        <v>1620</v>
      </c>
    </row>
    <row r="238" spans="1:8" ht="14.4" x14ac:dyDescent="0.3">
      <c r="A238"/>
    </row>
    <row r="240" spans="1:8" x14ac:dyDescent="0.3">
      <c r="D240" s="1" t="s">
        <v>316</v>
      </c>
      <c r="E240" s="1">
        <f>80*81*161/24</f>
        <v>43470</v>
      </c>
    </row>
    <row r="243" spans="1:8" ht="16.95" customHeight="1" x14ac:dyDescent="0.3">
      <c r="A243" s="225" t="s">
        <v>701</v>
      </c>
      <c r="B243" s="225"/>
      <c r="D243" s="1" t="s">
        <v>316</v>
      </c>
      <c r="E243" s="1">
        <f>NORMSINV(B235/2)</f>
        <v>-0.57011456068858435</v>
      </c>
    </row>
    <row r="246" spans="1:8" x14ac:dyDescent="0.3">
      <c r="D246" s="1" t="s">
        <v>316</v>
      </c>
      <c r="E246" s="1">
        <f>(B234-E237)/SQRT(E240)</f>
        <v>-0.56596188868447161</v>
      </c>
    </row>
    <row r="249" spans="1:8" x14ac:dyDescent="0.3">
      <c r="A249" s="331" t="s">
        <v>715</v>
      </c>
      <c r="B249" s="332"/>
      <c r="C249" s="332"/>
      <c r="D249" s="332"/>
      <c r="E249" s="332"/>
      <c r="F249" s="332"/>
      <c r="G249" s="332"/>
      <c r="H249" s="333"/>
    </row>
    <row r="250" spans="1:8" x14ac:dyDescent="0.3">
      <c r="A250" s="334"/>
      <c r="B250" s="335"/>
      <c r="C250" s="335"/>
      <c r="D250" s="335"/>
      <c r="E250" s="335"/>
      <c r="F250" s="335"/>
      <c r="G250" s="335"/>
      <c r="H250" s="336"/>
    </row>
    <row r="271" spans="1:8" ht="14.4" thickBot="1" x14ac:dyDescent="0.35"/>
    <row r="272" spans="1:8" ht="16.2" thickBot="1" x14ac:dyDescent="0.35">
      <c r="A272" s="326" t="s">
        <v>47</v>
      </c>
      <c r="B272" s="327"/>
      <c r="C272" s="327"/>
      <c r="D272" s="327"/>
      <c r="E272" s="327"/>
      <c r="F272" s="327"/>
      <c r="G272" s="327"/>
      <c r="H272" s="328"/>
    </row>
    <row r="273" spans="1:12" s="5" customFormat="1" ht="27.6" x14ac:dyDescent="0.3">
      <c r="B273" s="5" t="s">
        <v>712</v>
      </c>
      <c r="C273" s="5" t="s">
        <v>713</v>
      </c>
      <c r="D273" s="5" t="s">
        <v>597</v>
      </c>
      <c r="E273" s="5" t="s">
        <v>38</v>
      </c>
      <c r="F273" s="5" t="s">
        <v>707</v>
      </c>
      <c r="G273" s="5" t="s">
        <v>708</v>
      </c>
      <c r="H273" s="5" t="s">
        <v>714</v>
      </c>
      <c r="K273" s="5" t="s">
        <v>541</v>
      </c>
      <c r="L273" s="5" t="s">
        <v>542</v>
      </c>
    </row>
    <row r="274" spans="1:12" x14ac:dyDescent="0.3">
      <c r="A274" s="1">
        <v>1</v>
      </c>
      <c r="B274" s="1">
        <v>26</v>
      </c>
      <c r="C274" s="1">
        <v>22</v>
      </c>
      <c r="D274" s="1">
        <f>B274-C274</f>
        <v>4</v>
      </c>
      <c r="E274" s="1">
        <f>ABS(D274)</f>
        <v>4</v>
      </c>
      <c r="F274" s="1">
        <v>3</v>
      </c>
      <c r="H274" s="1">
        <v>2</v>
      </c>
      <c r="L274" s="1">
        <v>1</v>
      </c>
    </row>
    <row r="275" spans="1:12" x14ac:dyDescent="0.3">
      <c r="A275" s="1">
        <v>2</v>
      </c>
      <c r="B275" s="1">
        <v>24</v>
      </c>
      <c r="C275" s="1">
        <v>2</v>
      </c>
      <c r="D275" s="1">
        <f t="shared" ref="D275:D288" si="5">B275-C275</f>
        <v>22</v>
      </c>
      <c r="E275" s="1">
        <f t="shared" ref="E275:E288" si="6">ABS(D275)</f>
        <v>22</v>
      </c>
      <c r="F275" s="1">
        <v>14</v>
      </c>
      <c r="H275" s="1">
        <v>2</v>
      </c>
      <c r="L275" s="1">
        <v>2</v>
      </c>
    </row>
    <row r="276" spans="1:12" x14ac:dyDescent="0.3">
      <c r="A276" s="1">
        <v>3</v>
      </c>
      <c r="B276" s="1">
        <v>15</v>
      </c>
      <c r="C276" s="1">
        <v>17</v>
      </c>
      <c r="D276" s="1">
        <f t="shared" si="5"/>
        <v>-2</v>
      </c>
      <c r="E276" s="1">
        <f t="shared" si="6"/>
        <v>2</v>
      </c>
      <c r="G276" s="1">
        <v>1.5</v>
      </c>
      <c r="H276" s="1">
        <v>4</v>
      </c>
      <c r="L276" s="1">
        <v>3</v>
      </c>
    </row>
    <row r="277" spans="1:12" x14ac:dyDescent="0.3">
      <c r="A277" s="1">
        <v>4</v>
      </c>
      <c r="B277" s="1">
        <v>16</v>
      </c>
      <c r="C277" s="1">
        <v>25</v>
      </c>
      <c r="D277" s="1">
        <f t="shared" si="5"/>
        <v>-9</v>
      </c>
      <c r="E277" s="1">
        <f t="shared" si="6"/>
        <v>9</v>
      </c>
      <c r="G277" s="1">
        <v>8.5</v>
      </c>
      <c r="H277" s="1">
        <v>5</v>
      </c>
      <c r="L277" s="1">
        <v>4</v>
      </c>
    </row>
    <row r="278" spans="1:12" x14ac:dyDescent="0.3">
      <c r="A278" s="1">
        <v>5</v>
      </c>
      <c r="B278" s="1">
        <v>8</v>
      </c>
      <c r="C278" s="1">
        <v>14</v>
      </c>
      <c r="D278" s="1">
        <f t="shared" si="5"/>
        <v>-6</v>
      </c>
      <c r="E278" s="1">
        <f t="shared" si="6"/>
        <v>6</v>
      </c>
      <c r="G278" s="1">
        <v>5</v>
      </c>
      <c r="H278" s="1">
        <v>6</v>
      </c>
      <c r="L278" s="1">
        <v>5</v>
      </c>
    </row>
    <row r="279" spans="1:12" x14ac:dyDescent="0.3">
      <c r="A279" s="1">
        <v>6</v>
      </c>
      <c r="B279" s="1">
        <v>29</v>
      </c>
      <c r="C279" s="1">
        <v>21</v>
      </c>
      <c r="D279" s="1">
        <f t="shared" si="5"/>
        <v>8</v>
      </c>
      <c r="E279" s="1">
        <f t="shared" si="6"/>
        <v>8</v>
      </c>
      <c r="F279" s="1">
        <v>7</v>
      </c>
      <c r="H279" s="1">
        <v>7</v>
      </c>
      <c r="K279" s="1">
        <v>6</v>
      </c>
    </row>
    <row r="280" spans="1:12" x14ac:dyDescent="0.3">
      <c r="A280" s="1">
        <v>7</v>
      </c>
      <c r="B280" s="1">
        <v>12</v>
      </c>
      <c r="C280" s="1">
        <v>5</v>
      </c>
      <c r="D280" s="1">
        <f t="shared" si="5"/>
        <v>7</v>
      </c>
      <c r="E280" s="1">
        <f t="shared" si="6"/>
        <v>7</v>
      </c>
      <c r="F280" s="1">
        <v>6</v>
      </c>
      <c r="H280" s="1">
        <v>8</v>
      </c>
      <c r="K280" s="1">
        <v>7</v>
      </c>
    </row>
    <row r="281" spans="1:12" x14ac:dyDescent="0.3">
      <c r="A281" s="1">
        <v>8</v>
      </c>
      <c r="B281" s="1">
        <v>6</v>
      </c>
      <c r="C281" s="1">
        <v>30</v>
      </c>
      <c r="D281" s="1">
        <f t="shared" si="5"/>
        <v>-24</v>
      </c>
      <c r="E281" s="1">
        <f t="shared" si="6"/>
        <v>24</v>
      </c>
      <c r="G281" s="1">
        <v>15</v>
      </c>
      <c r="H281" s="1">
        <v>9</v>
      </c>
      <c r="K281" s="1">
        <v>8</v>
      </c>
    </row>
    <row r="282" spans="1:12" x14ac:dyDescent="0.3">
      <c r="A282" s="1">
        <v>9</v>
      </c>
      <c r="B282" s="1">
        <v>18</v>
      </c>
      <c r="C282" s="1">
        <v>3</v>
      </c>
      <c r="D282" s="1">
        <f t="shared" si="5"/>
        <v>15</v>
      </c>
      <c r="E282" s="1">
        <f t="shared" si="6"/>
        <v>15</v>
      </c>
      <c r="F282" s="1">
        <v>11</v>
      </c>
      <c r="H282" s="1">
        <v>9</v>
      </c>
      <c r="L282" s="1">
        <v>9</v>
      </c>
    </row>
    <row r="283" spans="1:12" x14ac:dyDescent="0.3">
      <c r="A283" s="1">
        <v>10</v>
      </c>
      <c r="B283" s="1">
        <v>11</v>
      </c>
      <c r="C283" s="1">
        <v>9</v>
      </c>
      <c r="D283" s="1">
        <f t="shared" si="5"/>
        <v>2</v>
      </c>
      <c r="E283" s="1">
        <f t="shared" si="6"/>
        <v>2</v>
      </c>
      <c r="F283" s="1">
        <v>1.5</v>
      </c>
      <c r="H283" s="1">
        <v>13</v>
      </c>
      <c r="K283" s="1">
        <v>10</v>
      </c>
    </row>
    <row r="284" spans="1:12" x14ac:dyDescent="0.3">
      <c r="A284" s="1">
        <v>11</v>
      </c>
      <c r="B284" s="1">
        <v>13</v>
      </c>
      <c r="C284" s="1">
        <v>4</v>
      </c>
      <c r="D284" s="1">
        <f t="shared" si="5"/>
        <v>9</v>
      </c>
      <c r="E284" s="1">
        <f t="shared" si="6"/>
        <v>9</v>
      </c>
      <c r="F284" s="1">
        <v>8.5</v>
      </c>
      <c r="H284" s="1">
        <v>15</v>
      </c>
      <c r="K284" s="1">
        <v>11</v>
      </c>
    </row>
    <row r="285" spans="1:12" x14ac:dyDescent="0.3">
      <c r="A285" s="1">
        <v>12</v>
      </c>
      <c r="B285" s="1">
        <v>19</v>
      </c>
      <c r="C285" s="1">
        <v>1</v>
      </c>
      <c r="D285" s="1">
        <f t="shared" si="5"/>
        <v>18</v>
      </c>
      <c r="E285" s="1">
        <f t="shared" si="6"/>
        <v>18</v>
      </c>
      <c r="F285" s="1">
        <v>13</v>
      </c>
      <c r="H285" s="1">
        <v>17</v>
      </c>
      <c r="K285" s="1">
        <v>12</v>
      </c>
    </row>
    <row r="286" spans="1:12" x14ac:dyDescent="0.3">
      <c r="A286" s="1">
        <v>13</v>
      </c>
      <c r="B286" s="1">
        <v>10</v>
      </c>
      <c r="C286" s="1">
        <v>27</v>
      </c>
      <c r="D286" s="1">
        <f>B286-C286</f>
        <v>-17</v>
      </c>
      <c r="E286" s="1">
        <f>ABS(D286)</f>
        <v>17</v>
      </c>
      <c r="G286" s="1">
        <v>12</v>
      </c>
      <c r="H286" s="1">
        <v>18</v>
      </c>
      <c r="K286" s="1">
        <v>13</v>
      </c>
    </row>
    <row r="287" spans="1:12" x14ac:dyDescent="0.3">
      <c r="A287" s="1">
        <v>14</v>
      </c>
      <c r="B287" s="1">
        <v>28</v>
      </c>
      <c r="C287" s="1">
        <v>23</v>
      </c>
      <c r="D287" s="1">
        <f t="shared" si="5"/>
        <v>5</v>
      </c>
      <c r="E287" s="1">
        <f t="shared" si="6"/>
        <v>5</v>
      </c>
      <c r="F287" s="1">
        <v>4</v>
      </c>
      <c r="H287" s="1">
        <v>22</v>
      </c>
      <c r="L287" s="1">
        <v>14</v>
      </c>
    </row>
    <row r="288" spans="1:12" x14ac:dyDescent="0.3">
      <c r="A288" s="1">
        <v>15</v>
      </c>
      <c r="B288" s="1">
        <v>7</v>
      </c>
      <c r="C288" s="1">
        <v>20</v>
      </c>
      <c r="D288" s="1">
        <f t="shared" si="5"/>
        <v>-13</v>
      </c>
      <c r="E288" s="1">
        <f t="shared" si="6"/>
        <v>13</v>
      </c>
      <c r="G288" s="1">
        <v>10</v>
      </c>
      <c r="H288" s="1">
        <v>24</v>
      </c>
      <c r="K288" s="1">
        <v>15</v>
      </c>
    </row>
    <row r="289" spans="1:12" x14ac:dyDescent="0.3">
      <c r="E289" s="1" t="s">
        <v>98</v>
      </c>
      <c r="F289" s="1">
        <f>SUM(F274:F288)</f>
        <v>68</v>
      </c>
      <c r="G289" s="1">
        <f>SUM(G274:G288)</f>
        <v>52</v>
      </c>
      <c r="K289" s="1">
        <v>16</v>
      </c>
    </row>
    <row r="290" spans="1:12" x14ac:dyDescent="0.3">
      <c r="L290" s="1">
        <v>17</v>
      </c>
    </row>
    <row r="291" spans="1:12" x14ac:dyDescent="0.3">
      <c r="K291" s="1">
        <v>18</v>
      </c>
    </row>
    <row r="292" spans="1:12" x14ac:dyDescent="0.3">
      <c r="C292" s="1" t="s">
        <v>590</v>
      </c>
      <c r="D292" s="1" t="s">
        <v>316</v>
      </c>
      <c r="E292" s="1">
        <v>0.69</v>
      </c>
      <c r="K292" s="1">
        <v>19</v>
      </c>
    </row>
    <row r="293" spans="1:12" x14ac:dyDescent="0.3">
      <c r="L293" s="1">
        <v>20</v>
      </c>
    </row>
    <row r="294" spans="1:12" x14ac:dyDescent="0.3">
      <c r="L294" s="1">
        <v>21</v>
      </c>
    </row>
    <row r="295" spans="1:12" x14ac:dyDescent="0.3">
      <c r="D295" s="1" t="s">
        <v>316</v>
      </c>
      <c r="E295" s="1">
        <f>30*31/4</f>
        <v>232.5</v>
      </c>
      <c r="L295" s="1">
        <v>22</v>
      </c>
    </row>
    <row r="296" spans="1:12" ht="14.4" x14ac:dyDescent="0.3">
      <c r="A296"/>
      <c r="L296" s="1">
        <v>23</v>
      </c>
    </row>
    <row r="297" spans="1:12" x14ac:dyDescent="0.3">
      <c r="K297" s="1">
        <v>24</v>
      </c>
    </row>
    <row r="298" spans="1:12" x14ac:dyDescent="0.3">
      <c r="D298" s="1" t="s">
        <v>316</v>
      </c>
      <c r="E298" s="1" t="s">
        <v>636</v>
      </c>
      <c r="L298" s="1">
        <v>25</v>
      </c>
    </row>
    <row r="299" spans="1:12" x14ac:dyDescent="0.3">
      <c r="K299" s="1">
        <v>26</v>
      </c>
    </row>
    <row r="300" spans="1:12" x14ac:dyDescent="0.3">
      <c r="C300" s="1" t="s">
        <v>710</v>
      </c>
      <c r="D300" s="1" t="s">
        <v>316</v>
      </c>
      <c r="E300" s="1">
        <f>L304</f>
        <v>223</v>
      </c>
      <c r="L300" s="1">
        <v>27</v>
      </c>
    </row>
    <row r="301" spans="1:12" x14ac:dyDescent="0.3">
      <c r="K301" s="1">
        <v>28</v>
      </c>
    </row>
    <row r="302" spans="1:12" x14ac:dyDescent="0.3">
      <c r="A302" s="225" t="s">
        <v>701</v>
      </c>
      <c r="B302" s="225"/>
      <c r="D302" s="1" t="s">
        <v>316</v>
      </c>
      <c r="E302" s="1">
        <f>NORMSINV(E292/2)</f>
        <v>-0.39885506564233691</v>
      </c>
      <c r="K302" s="1">
        <v>29</v>
      </c>
    </row>
    <row r="303" spans="1:12" x14ac:dyDescent="0.3">
      <c r="L303" s="1">
        <v>30</v>
      </c>
    </row>
    <row r="304" spans="1:12" ht="14.4" x14ac:dyDescent="0.3">
      <c r="A304"/>
      <c r="D304" s="1" t="s">
        <v>316</v>
      </c>
      <c r="E304" s="1" t="e">
        <f>(E300-E295)/SQRT(E298)</f>
        <v>#VALUE!</v>
      </c>
      <c r="K304" s="1">
        <f>SUM(K274:K303)</f>
        <v>242</v>
      </c>
      <c r="L304" s="1">
        <f>SUM(L274:L303)</f>
        <v>223</v>
      </c>
    </row>
    <row r="307" spans="1:8" x14ac:dyDescent="0.3">
      <c r="A307" s="331" t="s">
        <v>716</v>
      </c>
      <c r="B307" s="332"/>
      <c r="C307" s="332"/>
      <c r="D307" s="332"/>
      <c r="E307" s="332"/>
      <c r="F307" s="332"/>
      <c r="G307" s="332"/>
      <c r="H307" s="333"/>
    </row>
    <row r="308" spans="1:8" x14ac:dyDescent="0.3">
      <c r="A308" s="334"/>
      <c r="B308" s="335"/>
      <c r="C308" s="335"/>
      <c r="D308" s="335"/>
      <c r="E308" s="335"/>
      <c r="F308" s="335"/>
      <c r="G308" s="335"/>
      <c r="H308" s="336"/>
    </row>
  </sheetData>
  <mergeCells count="23">
    <mergeCell ref="A307:H308"/>
    <mergeCell ref="A232:H232"/>
    <mergeCell ref="A243:B243"/>
    <mergeCell ref="A249:H250"/>
    <mergeCell ref="A272:H272"/>
    <mergeCell ref="A302:B302"/>
    <mergeCell ref="A186:H186"/>
    <mergeCell ref="A196:B196"/>
    <mergeCell ref="A202:H203"/>
    <mergeCell ref="A153:H154"/>
    <mergeCell ref="A114:H114"/>
    <mergeCell ref="A128:H128"/>
    <mergeCell ref="B148:C148"/>
    <mergeCell ref="A1:H1"/>
    <mergeCell ref="A16:H18"/>
    <mergeCell ref="A20:H20"/>
    <mergeCell ref="A33:H35"/>
    <mergeCell ref="A37:H37"/>
    <mergeCell ref="A54:H54"/>
    <mergeCell ref="A56:H56"/>
    <mergeCell ref="A73:H73"/>
    <mergeCell ref="A96:H96"/>
    <mergeCell ref="A112:H1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20</vt:i4>
      </vt:variant>
    </vt:vector>
  </HeadingPairs>
  <TitlesOfParts>
    <vt:vector size="20" baseType="lpstr">
      <vt:lpstr>Bölüm 2</vt:lpstr>
      <vt:lpstr>Sayfa1</vt:lpstr>
      <vt:lpstr>Bölüm 3</vt:lpstr>
      <vt:lpstr>Bölüm 4</vt:lpstr>
      <vt:lpstr>Bölüm 6</vt:lpstr>
      <vt:lpstr>Bölüm 7</vt:lpstr>
      <vt:lpstr>Bölüm 8</vt:lpstr>
      <vt:lpstr>Bölüm 9</vt:lpstr>
      <vt:lpstr>Bölüm 10</vt:lpstr>
      <vt:lpstr>Bölüm 11</vt:lpstr>
      <vt:lpstr>Bölüm 12</vt:lpstr>
      <vt:lpstr>Bölüm 13</vt:lpstr>
      <vt:lpstr>Bölüm 14</vt:lpstr>
      <vt:lpstr>Bölüm 15</vt:lpstr>
      <vt:lpstr>Bölüm 16</vt:lpstr>
      <vt:lpstr>Bölüm 17</vt:lpstr>
      <vt:lpstr>ÖZET Z TABLOSU</vt:lpstr>
      <vt:lpstr>Z TABLOSUNUN HAZIRLANIŞI</vt:lpstr>
      <vt:lpstr>Z TABLOSU</vt:lpstr>
      <vt:lpstr>Testler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2006-09-26T09:04:32Z</dcterms:created>
  <dcterms:modified xsi:type="dcterms:W3CDTF">2023-10-31T19:22:57Z</dcterms:modified>
</cp:coreProperties>
</file>