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C:\Users\seymo\Desktop\Herr's-Lab\Pitchbook-UC-Berkeley-Serial-Entrepreneurs-Data-Extractor\"/>
    </mc:Choice>
  </mc:AlternateContent>
  <xr:revisionPtr revIDLastSave="0" documentId="13_ncr:1_{2CC821D7-E746-41A3-9358-BE7B7EE0CCA2}" xr6:coauthVersionLast="46" xr6:coauthVersionMax="46" xr10:uidLastSave="{00000000-0000-0000-0000-000000000000}"/>
  <bookViews>
    <workbookView xWindow="-108" yWindow="-108" windowWidth="23256" windowHeight="12720" xr2:uid="{00000000-000D-0000-FFFF-FFFF00000000}"/>
  </bookViews>
  <sheets>
    <sheet name="Data" sheetId="6" r:id="rId1"/>
  </sheets>
  <definedNames>
    <definedName name="CreatedFor">Data!#REF!</definedName>
    <definedName name="CreatedForTitle">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01" i="6" l="1"/>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alcChain>
</file>

<file path=xl/sharedStrings.xml><?xml version="1.0" encoding="utf-8"?>
<sst xmlns="http://schemas.openxmlformats.org/spreadsheetml/2006/main" count="9103" uniqueCount="5204">
  <si>
    <t>Person ID</t>
  </si>
  <si>
    <t>Full Name</t>
  </si>
  <si>
    <t>Last Name</t>
  </si>
  <si>
    <t>First Name</t>
  </si>
  <si>
    <t>Primary Position</t>
  </si>
  <si>
    <t>Primary Company</t>
  </si>
  <si>
    <t>Board Seats</t>
  </si>
  <si>
    <t>Roles</t>
  </si>
  <si>
    <t>Deal Roles</t>
  </si>
  <si>
    <t>Phone</t>
  </si>
  <si>
    <t>Email</t>
  </si>
  <si>
    <t>Location</t>
  </si>
  <si>
    <t>Address Line 1</t>
  </si>
  <si>
    <t>Address Line 2</t>
  </si>
  <si>
    <t>City</t>
  </si>
  <si>
    <t>State/Province</t>
  </si>
  <si>
    <t>Post Code</t>
  </si>
  <si>
    <t>Country</t>
  </si>
  <si>
    <t>Fax</t>
  </si>
  <si>
    <t>Biography</t>
  </si>
  <si>
    <t>PitchBook Link</t>
  </si>
  <si>
    <t>36995-05P</t>
  </si>
  <si>
    <t>Shervin Pishevar</t>
  </si>
  <si>
    <t>Pishevar</t>
  </si>
  <si>
    <t>Shervin</t>
  </si>
  <si>
    <t>Chairman</t>
  </si>
  <si>
    <t>Bolt Mobility</t>
  </si>
  <si>
    <t>+1 (866) 265-8143</t>
  </si>
  <si>
    <t>shervin@micromobility.com</t>
  </si>
  <si>
    <t>Miami, FL</t>
  </si>
  <si>
    <t>2901 Florida Avenue</t>
  </si>
  <si>
    <t>Suite 840</t>
  </si>
  <si>
    <t>Miami</t>
  </si>
  <si>
    <t>Florida</t>
  </si>
  <si>
    <t>33133</t>
  </si>
  <si>
    <t>United States</t>
  </si>
  <si>
    <t/>
  </si>
  <si>
    <t>Mr. Shervin Pishevar serves as Chairman at Bolt Mobility. He Co-Founded Silicon Foundry. He was a Board Member at Cue Health. He was a Board Member of Getaround and comScore. He is also a Co-Founder of Virgin Hyperloop where he and served as Executive Chairman and Board Member. Mr. Pishevar also Founded Halo Computing. He Co-Founded and served as a Managing Director at Sherpa Venturs. He served as Managing Director at Menlo ventures. He sits on the board of Machine Zone, Fab, Warby Parker, Shaker and has led Menlo's investment in Tumblr. He focuses on the consumer internet, social web, mobile and the emerging Collaborative Consumption space. At Menlo, He works closely with the teams at Poshmark, Cinemagram, Machine Zone, Uber, Fab, Warby Parker, Shaker, Mr. Number and led Menlo's investment in Tumblr. He helped launch the Menlo Talent Fund, Menlo's $20M seed fund, in September 2011. Before joining Menlo, He was Chief Application Officer and GM at Mozilla Corporation after spending most of his career as a serial entrepreneur and angel investor. Companies he founded have reached an aggregate of 100 million users across companies like Webs.com (sold to Vistaprint for $117.5m), Social Gaming Network (SGN, merged with Mindjolt), and Hyperoffice, raising over $50m for those companies. He angel invested in over 40 companies including Taskrabbit, Cherry, Postmates, Klout, Voxer, Aardvark (sold to Google), Blackjet, Dollar Shave Club, Cherry, Branchout (advisor), Talent House, Gowalla (sold to Facebook), Milo.com (sold to eBay), Milk (sold to Google), Rapportive (sold to Linkedin), Likealittle (LAL), Qwiki, Votizen, Yobongo (sold to Mixbook), SpruceMedia, Medialets and SolveMedia. Hewas chosen by the US Government as an Outstanding American by Choice - one of only 100 naturalized Americans to be chosen since the beginning of the award. He serves on the advisory board of Comscore (NASDAQ: SCOR), is one of 10 members of the UN Foundation's Global Entrepreneurs Council, and serves as an Entrepreneurial Ambassador on several State Department delegations to the Middle East and Russia and a key note speaker at the President Obama's Summit on Entrepreneurship in Algeria. He is also an advisor at fbFund REV. He is also an Angel Investor. He was a Board Member of Cinemagram.</t>
  </si>
  <si>
    <t>11944-36P</t>
  </si>
  <si>
    <t>Behdad Eghbali</t>
  </si>
  <si>
    <t>Eghbali</t>
  </si>
  <si>
    <t>Behdad</t>
  </si>
  <si>
    <t>Co-Founder &amp; Managing Partner</t>
  </si>
  <si>
    <t>Clearlake Capital Group</t>
  </si>
  <si>
    <t>+1 (310) 400-8810</t>
  </si>
  <si>
    <t>beghbali@clearlakecapital.com</t>
  </si>
  <si>
    <t>Santa Monica, CA</t>
  </si>
  <si>
    <t>233 Wilshire Boulevard</t>
  </si>
  <si>
    <t>Suite 800</t>
  </si>
  <si>
    <t>Santa Monica</t>
  </si>
  <si>
    <t>California</t>
  </si>
  <si>
    <t>90401</t>
  </si>
  <si>
    <t>Mr. Behdad Eghbali served as Board Member at Vision Solutions and Lytx. He serves as a Chairman at symplr. He is a Co-Founder and serves as Managing Partner at Clearlake Capital Group. He also serves as Chairman of the Board at Dude Solutions. He also serves as Board of Director at NetDocuments &amp; Diligent. He served as Board Member at JetSmarter. He serves as a Board Member at Mycom Group and Appriss. He serves as the Board Member at Better For You Holdings. He serves as Board Member at NetMotion Wireless, Mformation Technologies and Syncsort. He also serves as Co-Chairman of the Board at Bluefly. He was a private equity investor at TPG Capital (FNA Texas Pacific Group). Before joining TPG, Mr. Eghbali was a Partner at Venus Capital Management and affiliates. Previously, he was the Vice President of Business Development at Turbolinux. Prior to that, Mr. Eghbali was an investment banker in the Mergers &amp; Acquisitions Group at Jefferies &amp; Company and in the Technology Group at Morgan Stanley. Mr. Eghbali currently serves as a director of Mycom, 3ality Holdings, CompuDyne and Purple Communications and has previously served as a director of Celerity and Buy.com. Mr. Eghbali received a B.S. in Business Administration at the Haas School of Business with an emphasis in finance from the University of California, Berkeley. He is Board Member at Vision Solutions.</t>
  </si>
  <si>
    <t>39725-11P</t>
  </si>
  <si>
    <t>Auren Hoffman</t>
  </si>
  <si>
    <t>Hoffman</t>
  </si>
  <si>
    <t>Auren</t>
  </si>
  <si>
    <t>Chairman, President &amp; Manager</t>
  </si>
  <si>
    <t>Connector Ventures</t>
  </si>
  <si>
    <t>Las Vegas, NV</t>
  </si>
  <si>
    <t>5940 South Rainbow Boulevard</t>
  </si>
  <si>
    <t>Suite 86046</t>
  </si>
  <si>
    <t>Las Vegas</t>
  </si>
  <si>
    <t>Nevada</t>
  </si>
  <si>
    <t>89118-2507</t>
  </si>
  <si>
    <t>Mr. Auren Hoffman serves as Chairman, President &amp; Manager at Connector Ventures. He is a Co-Founder and serves as Chief Executive Officer and Board Member at SafeGraph. He served as Advisor at Sendbloom. He is also an Advisor of SignalFire. He also served as a Venture Advisor at Draper Nexus. He cofounded and served as Chief Executive Officer at LiveRamp. From 2003-2006, He was the Chairman of Stonebrick Group and Chairman of the Connector Group (Silicon Valley 100). Previously, he founded and sold three Internet companies before age 30: BridgePath (sold in 2002), Kyber Systems (sold in 1997) and GetRelevant (sold in 2002). He earlier co-founded and was a Board Member at AdRocket. He is the Founder of the Dialog Retreat. He holds a BS in Industrial Engineering and Operations Research from UC Berkeley. He is an Advisor at Sendbloom.</t>
  </si>
  <si>
    <t>12965-68P</t>
  </si>
  <si>
    <t>Alok Mittal</t>
  </si>
  <si>
    <t>Mittal</t>
  </si>
  <si>
    <t>Alok</t>
  </si>
  <si>
    <t>Co-Founding Board Member</t>
  </si>
  <si>
    <t>Indian Angel Network</t>
  </si>
  <si>
    <t>+91 (0)11 4075 5713</t>
  </si>
  <si>
    <t>New Delhi, India</t>
  </si>
  <si>
    <t>301-302, 3rd floor, Delhi Blue Apartments</t>
  </si>
  <si>
    <t>Main Ring Road, Near Safdarjung Hospital</t>
  </si>
  <si>
    <t>New Delhi</t>
  </si>
  <si>
    <t>Delhi</t>
  </si>
  <si>
    <t>110029</t>
  </si>
  <si>
    <t>India</t>
  </si>
  <si>
    <t>+91 (0)11 4075 5736</t>
  </si>
  <si>
    <t>Mr. Alok Mittal is a Co-Founding Board Member at Indian Angel Network. Mr. Alok Mittal is a Co-Founder and serves as Chief Executive Officer, Managing Director &amp; Board Member at Indifi. He also serves as Member of the Advisory Board and Investment Manager at YourNest Capital Advisors. He also serves as an Executive at Founders United Trust. He served as a Managing Director at Canaan Partners. He has a broad range of experience founding, funding and supporting early-stage technology companies. He leads Canaan's investments in India, and focuses on digital media and mobile companies, as well as innovators in managed software services and other IT enabled businesses. He is a regular speaker at prominent industry events such as TiE, NASSCOM, VCCircle, Adtech and more. Alok is on the board of TiE (The Indus Entrepreneurs) in Delhi and an advisor to Adtech India. During the course of his association with Canaan India, he has advised Canaan Partners in their investment in BharatMatrimony (Matrimony.com), Equitas, iYogi, mCarbon, UnitedLex, CarTrade and Happiest Minds. He was a Board Member of India Property. Prior to joining the venture industry, Alok co-founded JobsAhead.com, a leading web-based recruitment business, which was acquired by Monster.com, the global leader in online recruitment. He also brings strong Telecom experience to Canaan having worked for Hughes Software Systems prior to that. Alok earned a BE in computer science and engineering from the Indian Institute of Technology Delhi and a MS in computer science from UC Berkeley.</t>
  </si>
  <si>
    <t>43980-76P</t>
  </si>
  <si>
    <t>Hiten Shah</t>
  </si>
  <si>
    <t>Shah</t>
  </si>
  <si>
    <t>Hiten</t>
  </si>
  <si>
    <t>Co-Founder</t>
  </si>
  <si>
    <t>Crazy Egg</t>
  </si>
  <si>
    <t>+1 (714) 398-8373</t>
  </si>
  <si>
    <t>hiten.shah@crazyegg.com</t>
  </si>
  <si>
    <t>La Mirada, CA</t>
  </si>
  <si>
    <t>16220 East Ridgeview Lane</t>
  </si>
  <si>
    <t>La Mirada</t>
  </si>
  <si>
    <t>90638</t>
  </si>
  <si>
    <t>Mr. Hiten Shah is a Co-Founder of Crazy Egg. He is also a Co-Founder and serves as Chief Executive Officer at Find Your Info. He also serves as an advisor at Demandsphere. He also served as a Board Member at isocket. He serves as Mentor at K5 Ventures. He serves as Advisor at 15Five. He also co-founded and served as a Board Member at KISSmetrics. Previously he started Crazy Egg and ACS. Mr. Shah also serves as an Advisor at UXPin. He also serves on the Board of Visually. He was an advisor at fbFund REV. He holds a degree from the University of California, Berkeley. He also Co-Founded Qualaroo.</t>
  </si>
  <si>
    <t>13957-84P</t>
  </si>
  <si>
    <t>Mark Kvamme</t>
  </si>
  <si>
    <t>Kvamme</t>
  </si>
  <si>
    <t>Mark</t>
  </si>
  <si>
    <t>Co-Founder &amp; Partner</t>
  </si>
  <si>
    <t>Drive Capital</t>
  </si>
  <si>
    <t>+1 (614) 257-8243</t>
  </si>
  <si>
    <t>mark@drivecapital.com</t>
  </si>
  <si>
    <t>Columbus, OH</t>
  </si>
  <si>
    <t>629 North High Street</t>
  </si>
  <si>
    <t>Columbus</t>
  </si>
  <si>
    <t>Ohio</t>
  </si>
  <si>
    <t>43125</t>
  </si>
  <si>
    <t>Mr. Mark Kvamme is a Co-Founder and serves as Board Member at FactGem, He also serves as Chairman of the Board at Physna. He formerly served as President. He also served as Bpard Member at Trove AI. He is also a Co-Founder and serves as a Partner at Drive Capital. He is a Board Member at Notion Al and MarkLogic. He served as Partner at Sequoia Capital for 12 years, where he led investments in companies such as Linkedin, Cast Iron and FunnyOrDie.com. Prior to co-founding Drive Capital, he served as interim Chief Investment Officer and President at JobsOhio, a nonprofit corporation created to run the state's economic development activities.</t>
  </si>
  <si>
    <t>44182-45P</t>
  </si>
  <si>
    <t>Masayoshi Son</t>
  </si>
  <si>
    <t>Son</t>
  </si>
  <si>
    <t>Masayoshi</t>
  </si>
  <si>
    <t>Founder, Representative Director &amp; Chairman</t>
  </si>
  <si>
    <t>SoftBank Group</t>
  </si>
  <si>
    <t>+81 (0)36 889 2000</t>
  </si>
  <si>
    <t>masayoshison@softbank.jp</t>
  </si>
  <si>
    <t>Tokyo, Japan</t>
  </si>
  <si>
    <t>1-9-1 Higashi-shimbashi</t>
  </si>
  <si>
    <t>Minato-ku</t>
  </si>
  <si>
    <t>Tokyo</t>
  </si>
  <si>
    <t>105-7303</t>
  </si>
  <si>
    <t>Japan</t>
  </si>
  <si>
    <t>Mr. Masayoshi Son is the Founder and serves as Representative Director &amp; Chairman at SoftBank Group. He serves as Board Member at Alibaba Group.He also serves as Chairman at SoftBank Mobile and on the Board of T-Mobile. He founded SoftBank Group Corp. in September 1981 and has been its Chairman and Chief Executive Officer from February 1986 until June 2015. He also serves as a Board Member at Breakthrough Energy Ventures. Mr. Son serves in various capacities within SoftBank's portfolio of companies, including Vodafone (currently SoftBank Corp.) as its Chairman since 2015 and served as its Chairman and Chief Executive Officer from 2006 until 2015. In addition, Mr. Son sits on the board of directors of Yahoo! Japan Corporation, which was established as a joint venture between SoftBank and Yahoo! and served as its Chairman from 1996 until 2015. Mr. Son has also served as Honorary Chairman of the Broadband Association in Japan. He is also an Angel Investor. He also serves as Director at Yahoo Japan.</t>
  </si>
  <si>
    <t>95157-46P</t>
  </si>
  <si>
    <t>Vaibhav Domkundwar</t>
  </si>
  <si>
    <t>Domkundwar</t>
  </si>
  <si>
    <t>Vaibhav</t>
  </si>
  <si>
    <t>Founder &amp; Chief Executive Officer</t>
  </si>
  <si>
    <t>Picbackman</t>
  </si>
  <si>
    <t>vaibhav@magikcommerce.com</t>
  </si>
  <si>
    <t>Santa Clara, CA</t>
  </si>
  <si>
    <t>1600 Duane Avenue</t>
  </si>
  <si>
    <t>Santa Clara</t>
  </si>
  <si>
    <t>95054</t>
  </si>
  <si>
    <t>Mr. Vaibhav Domkundwar is the Founder and serves as Chief Executive Officer at Picbackman.He is also the Founder and serves as Chief Executive Officer at Magik. He is the Founder and Chief Executive Officer at DataDoctor. He is a Co-Founder and serves as Evangelist at Gyde. He is also the Founder and serves as Chief Executive Officer at Better Capital. Mr. Domkundwar is the Founder of and serves as Chief Executive Officer at ReadyContacts.</t>
  </si>
  <si>
    <t>36088-30P</t>
  </si>
  <si>
    <t>David Friedberg</t>
  </si>
  <si>
    <t>Friedberg</t>
  </si>
  <si>
    <t>David</t>
  </si>
  <si>
    <t>Board Member</t>
  </si>
  <si>
    <t>Clara Foods</t>
  </si>
  <si>
    <t>+1 (650) 733-4015</t>
  </si>
  <si>
    <t>david@clarafoods.com</t>
  </si>
  <si>
    <t>South San Francisco, CA</t>
  </si>
  <si>
    <t>1 Tower Place</t>
  </si>
  <si>
    <t>South San Francisco</t>
  </si>
  <si>
    <t>94080</t>
  </si>
  <si>
    <t>Mr. David Friedberg serves as Board Member at Clara Foods. He is the Founder &amp; serves as Board Member at Brightloom. He also serves as Board Member at Muniq. He is the Founder and serves as Chief Executive Officer at The Production Board. He serves as Board Member at Culture Biosciences. He is also a Co-Founder and serves as Chairman at MetroMile. He is an Owner and serves as Chairman at Northern Quinoa Production He co-founded and served as Chief Executive Officer of The Climate Corporation. Previously, he was with Google. Before Google, Mr. Friedberg spent several years working in private equity and investment banking. Earlier, he worked at the Lawrence Berkeley National Laboratory. He has a degree in Astrophysics from UC Berkeley. He serves as Chairman at Pattern Ag.</t>
  </si>
  <si>
    <t>54440-02P</t>
  </si>
  <si>
    <t>Rajeev Date JD</t>
  </si>
  <si>
    <t>Date</t>
  </si>
  <si>
    <t>Rajeev</t>
  </si>
  <si>
    <t>Advisor</t>
  </si>
  <si>
    <t>Resolve (Financial Software)</t>
  </si>
  <si>
    <t>+1 (301) 887-5990</t>
  </si>
  <si>
    <t>raj.date@fenwaysummer.com</t>
  </si>
  <si>
    <t>Oakland, CA</t>
  </si>
  <si>
    <t>344 20th Street</t>
  </si>
  <si>
    <t>Oakland</t>
  </si>
  <si>
    <t>94612</t>
  </si>
  <si>
    <t>Mr. Rajeev Date serves as Advisor at Resolve. He is a Co-Founder and serves as Managing Director and Chair of the Investment Committee at Fenway Summer Ventures. He also serves as the General Partner at Crossbeam Ventures Partners. He serves as Advisor at DigitalPay. He is a Co-Founder &amp; serves as Senior Advisor at FS Vector &amp; also serves as Board Member, Chairman of Risk Committee &amp; Member of Audit and Risk Committee at Green Dot.. He is the Founder and also serves as Managing Partner at Fenway Summers. Raj serves on the Boards of Directors for two Fenway Summer-sponsored startups:Circle Internet Financial, Prosper Marketplace, Ethos Lending and Kensington Vanguard National Land Services. He serves as Board Observer at Numerated. He is an Angel Investor. He also serves as a Director for a number of other innovative, high-growth firms in consumer finance, including Prosper, the peer-to-peer lender; Circle, the digital currency firm; College Avenue, a startup private student lender; and Kensington Vanguard, a national title insurance agent. Through his role as a senior adviser to the Promontory Financial Group, Raj counsels a range of banks, finance companies, and financial sponsors on strategic, financial, and regulatory issues. For Raj, Fenway Summer is the latest chapter in a long and varied career in and around U.S. financial institutions - as a senior policymaker, as a bank executive, and on Wall Street. Raj was the first-ever Deputy Director of the U.S. Consumer Financial Protection Bureau (CFPB). As the Bureau's second-ranking official, he helped steward the CFPB's strategy, its operations, and its policy agenda. He also served on the senior staff committee of the Financial Stability Oversight Council, and as a statutory deputy to the FDIC Board. Before being appointed Deputy Director, Raj acted as the interim leader of the new agency, serving as the Special Advisor to the Secretary of the Treasury. He led the CFPB for most of the first six months after its launch. Before his time in public policy, Raj was a Managing Director in the Financial Institutions Group at Deutsche Bank Securities, where he led the firm's investment banking coverage for the largest U.S.-based banks and thrifts. His client work focused on calibrating credit deterioration, evaluating capital-raising alternatives, and generating liquidity. Before that, Raj was Senior Vice President for Corporate Strategy and Development at Capital One Financial, where he led M&amp;A development efforts across the U.S. banking and specialty finance markets. He began his business career in the financial institutions practice of the consulting firm McKinsey &amp; Company. He has also served as an attorney in both private practice and government service. He also serves as the Board Member at Better Mortgage. He is a graduate of the College of Engineering at the University of California at Berkeley (highest honors) and the Harvard Law School (magna cum laude).</t>
  </si>
  <si>
    <t>35302-87P</t>
  </si>
  <si>
    <t>Brook Porter</t>
  </si>
  <si>
    <t>Porter</t>
  </si>
  <si>
    <t>Brook</t>
  </si>
  <si>
    <t>Co-Founding Partner</t>
  </si>
  <si>
    <t>G2VP</t>
  </si>
  <si>
    <t>brook@g2vp.com</t>
  </si>
  <si>
    <t>Menlo Park, CA</t>
  </si>
  <si>
    <t>2730 Sand Hill Road</t>
  </si>
  <si>
    <t>Suite 210</t>
  </si>
  <si>
    <t>Menlo Park</t>
  </si>
  <si>
    <t>94025</t>
  </si>
  <si>
    <t>Mr. Brook Porter serves as Co-Founding Partner at G2VP. He also co-founded Nyansa Learning. He served as a Board member at BlueOak Resources. He served as Board Member of Bloom Energy &amp; Siluria Technologies. He served as an Executive at Uber. A respected investor, advisor, and entrepreneur at the intersection of technology and sustainability, Brook Porter brings decades of energy, transportation, and agriculture expertise to G2VP as a founding partner. Brook joined Kleiner Perkins in 2010, where he led investments within their Green Growth Fund in Farmers Edge (shares acquired), Turo, Uber, DJI and sits on the board of Proterra. A serial entrepreneur, Brook co-founded two sustainable transportation companies prior to joining Kleiner Perkins: Intelligent Energy, a fuel cell technology company, and Primafuel, a low-carbon fuel company. Brook's roles in both companies ranged from R&amp;D to leading engineering and operations to drive multiple financings for the company. Brook holds a B.S. degree in chemical engineering from the University of California, Berkeley, with an emphasis on environmental technology. He is named on multiple U.S. and international patents in the field of renewable energy, and transportation.</t>
  </si>
  <si>
    <t>12472-84P</t>
  </si>
  <si>
    <t>Dipanjan Deb</t>
  </si>
  <si>
    <t>Deb</t>
  </si>
  <si>
    <t>Dipanjan</t>
  </si>
  <si>
    <t>Co-Founder &amp; Chief Executive Officer</t>
  </si>
  <si>
    <t>Francisco Partners</t>
  </si>
  <si>
    <t>+1 (415) 418-2900</t>
  </si>
  <si>
    <t>deb@franciscopartners.com</t>
  </si>
  <si>
    <t>San Francisco, CA</t>
  </si>
  <si>
    <t>One Letterman Drive</t>
  </si>
  <si>
    <t>Building C, Suite 410</t>
  </si>
  <si>
    <t>San Francisco</t>
  </si>
  <si>
    <t>94129</t>
  </si>
  <si>
    <t>+1 (415) 418-2999</t>
  </si>
  <si>
    <t>Mr. Dipanjan Deb is a Co-Founder and serves as Chief Executive Officer at Francisco Partners. He also serves as Board Member at Ichor Systems. Prior to founding Francisco Partners in 1999, DJ was a Principal with Texas Pacific Group. Earlier in his career, he was Director of Semiconductor Banking at Robertson, Stephens &amp; Company and a management consultant at McKinsey &amp; Company. DJ currently serves on the board of Ichor Systems and Plex Systems. He formerly served on the board of directors of AMI Semiconductor (AMIS), Barracuda (CUDA), CBA Group, Cross Match Technologies, Legerity, MagnaChip, Metrologic, NPTest/Credence (CMOS), Numonyx, SMART Modular Technologies (SMOD), Ultra Clean Technology (UCTT), Conexant (CNXT), Globespan (GSPN), and ON Semiconductor (ONNN).</t>
  </si>
  <si>
    <t>36373-69P</t>
  </si>
  <si>
    <t>John Battelle</t>
  </si>
  <si>
    <t>Battelle</t>
  </si>
  <si>
    <t>John</t>
  </si>
  <si>
    <t>LiveRamp Holdings</t>
  </si>
  <si>
    <t>+1 (888) 322-9466</t>
  </si>
  <si>
    <t>Conway, AR</t>
  </si>
  <si>
    <t>301 East Dave Ward Drive</t>
  </si>
  <si>
    <t>Conway</t>
  </si>
  <si>
    <t>Arkansas</t>
  </si>
  <si>
    <t>72032</t>
  </si>
  <si>
    <t>Mr. John Battelle is the Founder &amp; serves as Executive Chairman at Souvrn. He is a Co-Founder and serves as Co-Chief Executive Officer and Executive Chairman at The Recount. Heco-founded and served Board Member ata NewCo . He is an entrepreneur, journalist, professor, and author who has founded or co-founded a few too many online, event, media, and technology businesses. Battelle also runs NewCo, an "inside out" conference model and media platform. He also serves as Chair of sovrn Holdings, a publisher-first programmatic advertising and data platform that proudly serves 100,000+ sites. He holds a bachelor's degree in anthropology and a master's degree in journalism from the University of California, Berkeley.</t>
  </si>
  <si>
    <t>40496-95P</t>
  </si>
  <si>
    <t>Kevin Landis</t>
  </si>
  <si>
    <t>Landis</t>
  </si>
  <si>
    <t>Kevin</t>
  </si>
  <si>
    <t>Founder &amp; Chief Investment Officer</t>
  </si>
  <si>
    <t>Firsthand Capital Management</t>
  </si>
  <si>
    <t>+1 (408) 886-7096</t>
  </si>
  <si>
    <t>kevin@firsthandcapital.com</t>
  </si>
  <si>
    <t>San Jose, CA</t>
  </si>
  <si>
    <t>150 Almaden Boulevard</t>
  </si>
  <si>
    <t>Suite 1250</t>
  </si>
  <si>
    <t>San Jose</t>
  </si>
  <si>
    <t>95113</t>
  </si>
  <si>
    <t>Mr. Kevin Landis is the Founder and serves as Chief Investment Officer at Firsthand Capital Management. He serves as Board Member at IntraOp and Pivotal Systems. He is also the Manager of the Firsthand Technology Value Fund. He founded Firsthand in 1994. Kevin, born and raised in Silicon Valley, has over two decades of experience in engineering, market research, product management, and investing in the technology sector. Kevin is a board member at several technology and cleantech start-up companies, including Silicon Genesis, QMAT and UCT Coatings. Kevin holds a bachelor's degree in electrical engineering and computer science from the University of California at Berkeley and an MBA from Santa Clara University. He also serves as the Chief Investment Officer at Firsthand Funds.</t>
  </si>
  <si>
    <t>16180-12P</t>
  </si>
  <si>
    <t>Ryan Harris MD</t>
  </si>
  <si>
    <t>Harris</t>
  </si>
  <si>
    <t>Ryan</t>
  </si>
  <si>
    <t>General Partner</t>
  </si>
  <si>
    <t>Norwest Venture Partners</t>
  </si>
  <si>
    <t>+1 (650) 321-8000</t>
  </si>
  <si>
    <t>rharris@nvp.com</t>
  </si>
  <si>
    <t>Palo Alto, CA</t>
  </si>
  <si>
    <t>525 University Avenue</t>
  </si>
  <si>
    <t>Palo Alto</t>
  </si>
  <si>
    <t>94301</t>
  </si>
  <si>
    <t>Dr. Ryan Harris is a Co-Founder and serves as Co-Chairman at Rivermend Health. Dr. Ryan Harris serves as General Partner at Norwest Venture Partners. He serves as Board Member at Target PharmaSolutions. He served as Board Member at Crossover Health and iCardiac. He also serves as Board Member of Onsite Dental. Prior to joining NVP, Dr. Harris was a Principal with The Carlyle Group and a Venture Partner with Industry Ventures, where he focused exclusively on pharmaceutical, medical device and healthcare service investments from early-stage venture to growth equity and buyouts. At Carlyle, Mr. Harris's deals led to realized profitable exits of more than $1.4 billion in equity value. He served as a member or observer on the Board of Directors of Align Technologies (NASDAQ: ALGN), AqueSys, Colin Medical, ConnectiCare, MedPointe Pharmaceuticals, Multiplan, NeoVista, Proteus Biomedical, and Qualicaps. Prior to joining Carlyle in 2002, Mr. Harris was a consultant in the West Coast Healthcare Practice of McKinsey &amp; Company, where he worked with a variety of biotechnology, pharmaceutical, and medical device companies on corporate, R&amp;D and marketing strategies. In addition, he earned an M.S. in Health Research and Policy, and a B.A. in Psychology from Stanford University. Dr. Harris also attended Oxford University's Magdalen College. He holds an M.D. from the University of California, San Francisco, School of Medicine. In addition, he earned an M.S. in health research and policy, and a B.A. in psychology from Stanford University. Dr. Harris also attended Oxford University's Magdalen College.</t>
  </si>
  <si>
    <t>37033-03P</t>
  </si>
  <si>
    <t>Tuff Yen</t>
  </si>
  <si>
    <t>Yen</t>
  </si>
  <si>
    <t>Tuff</t>
  </si>
  <si>
    <t>Seraph (Private Equity)</t>
  </si>
  <si>
    <t>+1 (678) 919-7191</t>
  </si>
  <si>
    <t>tuff@seraphgroup.net</t>
  </si>
  <si>
    <t>Atlanta, GA</t>
  </si>
  <si>
    <t>530 Piedmont Avenue, NorthEast</t>
  </si>
  <si>
    <t>Suite 209</t>
  </si>
  <si>
    <t>Atlanta</t>
  </si>
  <si>
    <t>Georgia</t>
  </si>
  <si>
    <t>30308</t>
  </si>
  <si>
    <t>+1 (678) 919-7242</t>
  </si>
  <si>
    <t>Mr. Tuff Yen is the Founder and serves as Chief Executive Officer at Seraph Group. He serves as Board Member at Lucira Health. Mr. Yen served as Board Member at AirDog. Previously, he served as Board Member of iSpionage. He served as Member of Investment Committee at Panther Opportunity Fund. He spent his career as a scientist and a professional investor. He worked as a venture capitalist with Hambrecht &amp; Quist's venture fund ("HQAP") in San Francisco as well as Chemical Bank's venture arm in New York City. During this period, he worked on investments in a broad range of businesses including industrial manufacturing, distribution, entertainment, publishing, information technology, Internet, medical and life sciences. Prior to joining the VC community, he was a bioengineer with Genentech and worked at Amgen, two leading biotechnology pioneers. He received his masters in business administration from the Yale School of Management and his bachelor degree in Arts in microbiology and immunology from the University of California Berkeley.</t>
  </si>
  <si>
    <t>14242-69P</t>
  </si>
  <si>
    <t>Peter Chernin</t>
  </si>
  <si>
    <t>Chernin</t>
  </si>
  <si>
    <t>Peter</t>
  </si>
  <si>
    <t>Co-Founder, Chairman, Chief Executive Officer &amp; Partner</t>
  </si>
  <si>
    <t>The Chernin Group</t>
  </si>
  <si>
    <t>Los Angeles, CA</t>
  </si>
  <si>
    <t>12180 Millennium Drive</t>
  </si>
  <si>
    <t>Suite 500, Playa Vista</t>
  </si>
  <si>
    <t>Los Angeles</t>
  </si>
  <si>
    <t>90094</t>
  </si>
  <si>
    <t>Mr. Peter Chernin is a Co-Founder &amp; serves as Chairman, Chief Executive Officer &amp; Partner of The Chernin Group. He is a Co-Founder of CA Media and also serves as its Chairman. Mr. Chernin serves as a Senior Advisor at Providence Equity Partners. He Co-Founded and Owned Chernin Entertainment, where he also served as Chief Executive Officer and Chairman. From October 1996 to June 2009, Mr. Chernin served in several roles at News Corporation, most recently as President and Chief Operating Officer, and served as Chairman and Chief Executive Officer of The Fox Group, a subsidiary of News Corporation. Mr. Chernin currently serves on the boards of directors of American Express Company, a diversified financial services company, and Pandora Media, Inc., an online music streaming company. Mr. Chernin previously served on the boards of directors of various companies in the media industry and the technology industry, including News Corporation, DirecTV, Inc., E*Trade Financial Corporation and Gemstar-TV Guide International, Inc. Mr. Chernin holds a B.A. in English Literature from the University of California, Berkeley. Mr. Chernin was selected to serve on our board of directors because of his operating and management experience at global media companies, his expertise in online and mobile markets and other new technologies and his service on the boards of directors of numerous other companies. He is Board of Director at Twitter. He is Board Member at American Express. He serves as Advisor at Baobab Studios.</t>
  </si>
  <si>
    <t>32589-64P</t>
  </si>
  <si>
    <t>Ori Sasson</t>
  </si>
  <si>
    <t>Sasson</t>
  </si>
  <si>
    <t>Ori</t>
  </si>
  <si>
    <t>Chief Executive Officer &amp; Chief Financial Officer, Finance</t>
  </si>
  <si>
    <t>Trepont Acquisition Corp I</t>
  </si>
  <si>
    <t>+1 (415) 295-4488</t>
  </si>
  <si>
    <t>ori.sasson@primeracapital.com</t>
  </si>
  <si>
    <t>Four Embarcadero Center</t>
  </si>
  <si>
    <t>Suite 1400</t>
  </si>
  <si>
    <t>94111</t>
  </si>
  <si>
    <t>Mr. Ori Sasson serves as Chief Executive Officer, Chief Financial Officer and Director at Trepont Acquisition Corp I. Mr. Sasson is the Founding General Partner and serves as General Partner at Primera Capital (Venture Capital). He serves as Board Member at Air Protein. He also serves as Chief Executive Officer &amp; Vice Chairman at Airlinq. Over the years he has invested widely in the tech industry, before founding Primera, he was a partner at Apax Partners, and was president and CEO of Genesys Telecommunications Laboratories. He serves as Board Member at Mobileum. He served as Chairman and CEO of Scopus from its founding through its IPO in 1996 and its sale to Siebel Systems in 1998. Mr. Sasson earned a B.A. in Computer Science &amp; Mathematics and an M.S. in Engineering and Operations Research in 1986 from the University of California at Berkeley.</t>
  </si>
  <si>
    <t>45360-82P</t>
  </si>
  <si>
    <t>Corey Goodman Ph.D</t>
  </si>
  <si>
    <t>Goodman</t>
  </si>
  <si>
    <t>Corey</t>
  </si>
  <si>
    <t>Managing Partner</t>
  </si>
  <si>
    <t>venBio</t>
  </si>
  <si>
    <t>+1 (415) 800-0800</t>
  </si>
  <si>
    <t>cgoodman@venbio.com</t>
  </si>
  <si>
    <t>1700 Owens Street</t>
  </si>
  <si>
    <t>Suite 595</t>
  </si>
  <si>
    <t>94158</t>
  </si>
  <si>
    <t>Dr. Corey Goodman serves as Managing Partner at venBio. He is a Co-Founder and serves as Chairman at Tally Therapeutics. He has spent most of the last 15 years in Pharma and Biotech. He is an Angel Investor. He serves as Chairman at Second Genome and Alexo. He serves as Board Member at Checkmate, Attralus and NFlection. He served as Chairman at Labrys until its acquisition by Teva. In 2007, he founded and served as President at Pfizer of the Biotherapeutics and Bioinnovation Center, a new division focusing on Biologics and was a member of Pfizer's Executive Leadership Team reporting to the Chief Executive Officer. He designed and built a new entrepreneurial R&amp;D model with a focus on discovering and developing new therapeutics for unmet medical needs and fostering innovation and game-changing technology. Corey founded two companies Exelixis and Renovis. He served as President and Chief Executive Officer at Renovis from a private to public company until its acquisition by Evotec. He obtained a BS from Stanford University and a PhD from UC Berkeley and spent 25 years as Professor of Neurobiology at Stanford. He serves as Chairman at Evan Rauch at UC Berkeley where he was a Howard Hughes Investigator. He co-founded and served as Director at Wills Neuroscience Institute. He is the author of over 200 scientific papers. Corey is a member of the National Academy of Sciences and the American Philosophical Society. He has received many honours including the Alan T. Waterman award, the Canadian Gairdner Biomedical Award, the March of Dimes Prize and the Reeve-Irvine Research Medal. He is a Co-Founder and serves as Board Member at Ossianix.</t>
  </si>
  <si>
    <t>35288-02P</t>
  </si>
  <si>
    <t>Mark Britto</t>
  </si>
  <si>
    <t>Britto</t>
  </si>
  <si>
    <t>Chairman &amp; Co-Founder</t>
  </si>
  <si>
    <t>Boku</t>
  </si>
  <si>
    <t>mark@boku.com</t>
  </si>
  <si>
    <t>735 Battery Street</t>
  </si>
  <si>
    <t>2nd Floor</t>
  </si>
  <si>
    <t>Mr. Mark Britto serves as Chairman and is the Co-Founder at Boku. He served as Advisor at Humanity. He served as Advisor at Akkadian Ventures. He is also the Board Member at PasswordBox. He is the Chief Executive Officer and President of Ingenio. Mr. Britto joined Ingenio from Amazon.com, where, as Senior Vice President, Worldwide Services and Sales. He co-founded Accept.com. From 1994 to 1998, he was Executive Vice President of Credit at FirstUSA Bank. Before FirstUSA Bank, he was Senior Vice President of Consumer Risk Management at NationsBank (now Bank of America). He received an M.S. in Operations Research and a B.S. in Industrial Engineering and Operations from the University of California at Berkeley. He also serves as the Board Member &amp; Chairman of the Compensation Committee at Angie's List.</t>
  </si>
  <si>
    <t>11612-35P</t>
  </si>
  <si>
    <t>John Foraker</t>
  </si>
  <si>
    <t>Foraker</t>
  </si>
  <si>
    <t>Once Upon a Farm</t>
  </si>
  <si>
    <t>+1 (888) 983-1606</t>
  </si>
  <si>
    <t>john@uponafarm.com</t>
  </si>
  <si>
    <t>San Diego, CA</t>
  </si>
  <si>
    <t>7343 Ronson Road</t>
  </si>
  <si>
    <t>Suite P</t>
  </si>
  <si>
    <t>San Diego</t>
  </si>
  <si>
    <t>92111</t>
  </si>
  <si>
    <t>Mr. John Foraker is a Co-Founder &amp; serves as Chief Executive Officer at Once Upon a Farm. He serves as a Board Member at Back to the Roots. He previously served as the President and Chief Executive Officer at Annie's Homegrown. He also serves as the Board Member at Urban Remedy and Bhakti Chai. For over sixteen years, he has held various management positions with members of our corporate family. From 1994 until 1998, He served as the President of Napa Valley Kitchens, Inc. and from 1998 until 2004, he served as the Chief Executive Officer and a Board Member of Homegrown Natural Foods, Inc. He was a Vice President of Bank of America. He holds a BS from the University of California, he has an MBA from the University of California, Berkeley. He also serves as an Angel Investor.</t>
  </si>
  <si>
    <t>36399-61P</t>
  </si>
  <si>
    <t>Kevin Chou</t>
  </si>
  <si>
    <t>Chou</t>
  </si>
  <si>
    <t>Rally (Financial Software)</t>
  </si>
  <si>
    <t>kchou@rally.io</t>
  </si>
  <si>
    <t>P.O. Box 191373</t>
  </si>
  <si>
    <t>Suite 2200</t>
  </si>
  <si>
    <t>94119</t>
  </si>
  <si>
    <t>Mr. Kevin Chou is a Co-Founder of Rally. He is also a Co-Founder of Gen.G and serves as its Chairman. He serves as Board Member at Gamevice. He serves as Chief Executive Officer at Rally. He served as a Chief Executive Officer at Gen.G. He is a Co-Founder and serves as Chief Executive Officer at Aftershock. He is a Co-Founder of Forte labs, where he serves as a Chief Executive Officer. He co-founded and served as Chief Executive Officer of Kabam, a world leader in AAA mobile free-to-play games. He also serves as Venture Partner at LUMA Capital Partners. Mr. Chou also serves as Advisor at Conductive Ventures. Mr. Chou is an entrepreneur who has guided Kabam's explosive growth, which started with a handful of people working above a dim sum restaurant and catapulted to $400 million in revenue, sustained profitability, and a valuation of more than $1 billion in 2014. Since co-founding a company in 2006 that became Kabam in 2009, he has led the disruption of the video game industry by revolutionizing the way players access and pay for games. He has secured partnerships with leading game platforms, as well as with Hollywood studio giants such as Disney, Lionsgate, MGM, NBCUniversal, Paramount and Warner Brothers for games based on some of the world's most beloved movie franchises. Under his leadership, Kabam has raised more than $240 million from venture and strategic investors, including some of the world's largest entertainment and internet companies such as Alibaba, Google, Intel and Warner Brothers. Before co-founding Kabam, he worked at the global venture capital firm Canaan Partners, which is Kabam's initial investor and where he invested in 14 consumer technology and online media companies. Earlier, he advised public technology companies on M&amp;A and corporate finance as part of Deutsche Bank's technology investment banking practice. He graduated magna cum laude and Phi Beta Kappa from UC Berkeley with a BS in Business Administration. At UC Berkeley, he was admitted to the inaugural class of Gates Millennium Scholars. In 2014, he was named one of Fortune magazine's prestigious "40 Under 40" and, in 2012, was identified by Fortune as one of the "Smartest People in Tech." The Los Angeles Times called him "absurdly accomplished."</t>
  </si>
  <si>
    <t>42715-00P</t>
  </si>
  <si>
    <t>Frederic Moll MD</t>
  </si>
  <si>
    <t>Moll</t>
  </si>
  <si>
    <t>Frederic</t>
  </si>
  <si>
    <t>Co-Founder, Chief Executive Officer &amp; Board Member</t>
  </si>
  <si>
    <t>Auris</t>
  </si>
  <si>
    <t>+1 (650) 610-0750</t>
  </si>
  <si>
    <t>fred.moll@aurishealth.com</t>
  </si>
  <si>
    <t>San Carlos, CA</t>
  </si>
  <si>
    <t>125 Shoreway Road</t>
  </si>
  <si>
    <t>Suite D</t>
  </si>
  <si>
    <t>San Carlos</t>
  </si>
  <si>
    <t>94070</t>
  </si>
  <si>
    <t>Dr. Frederic Moll is a Co-Founder and Board Member of Auris, where he serves as Chief Executive Officer. He is the Chairman of Cephea. He is a Board Member of MIVI Neuroscience and Petrero Medical. Prior to Auris, he co-founded Hansen Medical and served as Chief Executive Officer from 2002 - 2010. Previously, he co-founded Intuitive Surgical Inc., a medical device company, and served as first Chief Executive Officer and later as a Vice President and Medical Director. He co-founded Origin Medsystems, Inc., a medical device company, which later became an operating company within Guidant Corporation, a medical device company, following its acquisition by Eli Lilly in 1992. He served as Medical Director of Guidant's Surgical Device Division until November 1995. Dr. Moll holds a B.A. degree from the University of California at Berkeley, an M.S. degree in Management from the Stanford University, and an M.D. degree from the University of Washington.</t>
  </si>
  <si>
    <t>13968-10P</t>
  </si>
  <si>
    <t>Bahram Nour-Omid Ph.D</t>
  </si>
  <si>
    <t>Nour-Omid</t>
  </si>
  <si>
    <t>Bahram</t>
  </si>
  <si>
    <t>Chairman &amp; Managing Partner</t>
  </si>
  <si>
    <t>Scopus Ventures</t>
  </si>
  <si>
    <t>+1 (424) 325-3744</t>
  </si>
  <si>
    <t>bahram@fuelcycle.com</t>
  </si>
  <si>
    <t>11859 Wilshire Boulevard</t>
  </si>
  <si>
    <t>5th Floor Suite 500</t>
  </si>
  <si>
    <t>90025</t>
  </si>
  <si>
    <t>Dr. Bahram Nour-Omid serves as Chairman &amp; Managing Partner at Scopus Ventures. He is a Co-Founder and serves as Executive Chairman at Vitalacy. He serves as Co-Chief Executive Officer at Fuel Cycle. He serves as Chairman at AppsVillage. He also served as Board Member at SonixIO. He also serves as the Chairman and a Board Member at Hyginex, and Phoneic. From 1999 until joining Shelter, Dr. Nour-Omid was the founding chairman and chief executive officer of StudioXchange, a provider of production site, labor and equipment procurement services for the entertainment industry. StudioXchange was acquired by IFILM in 2000. From 1997 to 1999, he was executive vice president and a director of Essentus, a provider of supply chain software for the apparel industry. From March 1991 through 1997, he was a Co-Founder, Chief Technology Officer and a director of Scopus Technology, a provider of front-office applications software. Dr. Nour-Omid is currently a director of Roamware. Dr. Nour-Omid earned a B.S. from the University of London's Imperial College, and an M.S. in Structural Engineering, M.A. in Mathematics and Ph.D. in Computer Simulation from the University of California, Berkeley. He also serves as the Board Member of Isensix.</t>
  </si>
  <si>
    <t>41447-35P</t>
  </si>
  <si>
    <t>Larry Rosenberger</t>
  </si>
  <si>
    <t>Rosenberger</t>
  </si>
  <si>
    <t>Larry</t>
  </si>
  <si>
    <t>Co-Founder &amp; Board Member</t>
  </si>
  <si>
    <t>Sapiens Data Science</t>
  </si>
  <si>
    <t>+1 (415) 383-1464</t>
  </si>
  <si>
    <t>larry.rosenberger@sapiensds.com</t>
  </si>
  <si>
    <t>Mill Valley, CA</t>
  </si>
  <si>
    <t>110 Tiburon Boulevard</t>
  </si>
  <si>
    <t>Suite 5</t>
  </si>
  <si>
    <t>Mill Valley</t>
  </si>
  <si>
    <t>94941</t>
  </si>
  <si>
    <t>Mr. Larry Rosenberger is a Co-Founder of Sapiens Data Science and also serves as a Board Member. He also serves on the Board of CourseKey Education, Fenris Digital and Worthix. He formerly served as President &amp; Chief Executive Officer of Fair Isaac Corporation to its Board of Directors. He joined FICO as its Vice President of Research &amp; Development Division, where he led the technical development, production, and marketing of the company's most advanced products, including the FICO Score, as well as advances in predictive analytics methodology. Rosenberger is currently a Research Fellow at FICO, having previously held the roles of Vice President of Research and President &amp; Chief Executive Officer. In his eight year tenure as Chief Executive Officer, Rosenberger led the company in creating world-class analytics solutions and increasing annual revenue from $31 million to $276 million. Rosenberger graduated from Massachusetts Institute of Technology (MIT) with a BS in Physics, and earned a Masters in Physics and two Masters in Operations Research from the University of California Berkeley.</t>
  </si>
  <si>
    <t>40954-06P</t>
  </si>
  <si>
    <t>Andrew Ng Ph.D</t>
  </si>
  <si>
    <t>Ng</t>
  </si>
  <si>
    <t>Andrew</t>
  </si>
  <si>
    <t>Founder and Chief Executive Officer</t>
  </si>
  <si>
    <t>deeplearning.ai</t>
  </si>
  <si>
    <t>ng@landing.ai</t>
  </si>
  <si>
    <t>195 Page Mill Road</t>
  </si>
  <si>
    <t>Suite 115</t>
  </si>
  <si>
    <t>94306</t>
  </si>
  <si>
    <t>Dr. Andrew Ng is the Founder and serves as Chief Executive Officer of deeplearning.ai. He serves as Chairman at Workera. He serves as Board Member at Profusa. He is the Founder and serves as Chief Executive Officer at Landing AI. He is also a Co-Founder and serves as President at Zunavision. He advises businesses across different industries on AI transformation. He served as Board Member at Drive.ai He is the Chairman of Woebot. He previously served as Chief Scientist at Baidu, where he led the company's ~1,300-person AI Group, and was responsible for driving the company's global AI strategy and technology. He was also the founding lead of the Google Brain team, one of Google's most successful AI teams. He is a Co-Founder and serves as Chairman at Coursera, the world's leading MOOC (Massive Open Online Courses) platform, and an Adjunct Professor at Stanford University's Computer Science Department. He has authored or co-authored over 100 research papers in machine learning, robotics and related fields. He holds degrees from Carnegie Mellon University, MIT and the University of California, Berkeley.</t>
  </si>
  <si>
    <t>83703-61P</t>
  </si>
  <si>
    <t>Shripad Nadkarni</t>
  </si>
  <si>
    <t>Nadkarni</t>
  </si>
  <si>
    <t>Shripad</t>
  </si>
  <si>
    <t>Founder Director</t>
  </si>
  <si>
    <t>Maverix (Food Products)</t>
  </si>
  <si>
    <t>+91 (0)22 2803 8100</t>
  </si>
  <si>
    <t>shripad@maverix.in</t>
  </si>
  <si>
    <t>Mumbai, India</t>
  </si>
  <si>
    <t>Floor, Plot-35, Vijay Transtech</t>
  </si>
  <si>
    <t>Chandivali, Andheri East</t>
  </si>
  <si>
    <t>Mumbai</t>
  </si>
  <si>
    <t>Maharashtra</t>
  </si>
  <si>
    <t>400072</t>
  </si>
  <si>
    <t>Mr. Shripad Nadkarni is the Founder Director of Maverix. Mr. Nadkarni is also a Co-Founder of MarketGate Consulting and serves as its Director &amp; Chief Executive Officer. He brings an experience spanning over thirty years to help companies achieve superior business results and enhance brand value. He has worked across a multitude of sectors from financial services to automobiles and entertainment to petrochemicals. Shripad's breadth of experience prior to consulting covers industries such as healthcare, consumer goods and food &amp; beverages. He has led sales and marketing teams for over fifteen years and has steered diverse businesses in the course of his career. Shripad was Vice President-Marketing and Business Head for New Beverages at Coca-Cola India for over five years beginning 2000. His major achievements include achieving market leadership for brand Thumbs-up, Sprite and Maaza and preference leadership for brand Coca-Cola through the memorable "Thanda Matlab Coca-Cola" campaign. He also led the advertising of core brands for India, Indonesia, Rural China, Nepal, Bangladesh and Sri Lanka. Prior to this, he was Vice President-Marketing for the Johnson &amp; Johnson Consumer Business and also headed the Vision Care profit centre. He is a frequent speaker at industry conferences and has contributed articles to leading business dailies and magazines. He also serves as an Advisor at Pegasus FinInvest Advisory and Sqrrl.</t>
  </si>
  <si>
    <t>55415-80P</t>
  </si>
  <si>
    <t>Alain de Rouvray Ph.D</t>
  </si>
  <si>
    <t>de Rouvray</t>
  </si>
  <si>
    <t>Alain</t>
  </si>
  <si>
    <t>Founder &amp; Chairman</t>
  </si>
  <si>
    <t>ESI Group</t>
  </si>
  <si>
    <t>+33 (0)1 41 73 58 00</t>
  </si>
  <si>
    <t>alain.rouvray@esi-group.com</t>
  </si>
  <si>
    <t>Paris, France</t>
  </si>
  <si>
    <t>100-102 Avenue de Suffren</t>
  </si>
  <si>
    <t>Paris</t>
  </si>
  <si>
    <t>75015</t>
  </si>
  <si>
    <t>France</t>
  </si>
  <si>
    <t>+33 (0)1 46 87 72 02</t>
  </si>
  <si>
    <t>Dr. Alain Rouvray is the Founder and serves as Chairman at ESI Group. He has been the General Manager since its creation. He holds an engineering degree from Ecole Centrale de Paris (1967), a degree from La Sorbonne (Economic sciences (1967), and a Ph.D. in civil engineering from the University of Berkeley (1971). Alain de Rouvray started his career as Research Engineer at Ecole Polytechnique (Solid Mechanics Laboratory) in 1972; he then became Director of the Advanced Mechanics Department for the international software subsidiary of CISI Group from 1972 to 1976. In 1973, he founded ESI SA and was the CEO and Commercial Director from 1973 to 1990.</t>
  </si>
  <si>
    <t>131649-04P</t>
  </si>
  <si>
    <t>Ankur Nagpal</t>
  </si>
  <si>
    <t>Nagpal</t>
  </si>
  <si>
    <t>Ankur</t>
  </si>
  <si>
    <t>Teachable</t>
  </si>
  <si>
    <t>ankur@teachable.com</t>
  </si>
  <si>
    <t>New York, NY</t>
  </si>
  <si>
    <t>470 Park Avenue South</t>
  </si>
  <si>
    <t>6th Floor</t>
  </si>
  <si>
    <t>New York</t>
  </si>
  <si>
    <t>10016</t>
  </si>
  <si>
    <t>Mr. Ankur Nagpal is a Co-Founder of Teachable and serves as its Chief Executive Officer. He also serves as Angel Investor at Ankur Nagpal. Previously he was the Founder and Chief Executive Officer of Unit 501.</t>
  </si>
  <si>
    <t>31065-58P</t>
  </si>
  <si>
    <t>Paul Jacobs Ph.D</t>
  </si>
  <si>
    <t>Jacobs</t>
  </si>
  <si>
    <t>Paul</t>
  </si>
  <si>
    <t>Co-Founder, Chief Executive Officer and Chairman</t>
  </si>
  <si>
    <t>XCOM (Wireless Technologies)</t>
  </si>
  <si>
    <t>pjacobs@xcom-tech.com</t>
  </si>
  <si>
    <t>Dr. Paul Jacobs is a Co-Founder of XCOM and serves as its Chief Executive Officer and Chairman. He also serves as Board Observer at Magic Leap. He serves as Chairman and Chief Executive Officer at Tapioca Mobile. He served as Chairman and Chief Executive Officer at Qualcomm. He served as Chief Executive Officer from July 2005 to March 2014 and as Group President of Qualcomm Wireless and Internet from July 2001 to July 2005. In addition, he served as an executive vice president from February 2000 to June 2005. He was a director of A123 Systems, Inc. from November 2002 to July 2012. He also serves on the Board of Directors for FIRST(R), OneWeb, Light and Dropbox. He has served as Chairman of the Board of Qualcomm since 2009, as Executive Chairman since 2014 and as a director since 2005. He holds a B.S. degree in electrical engineering and computer science, an M.S. degree in electrical engineering and a Ph.D. degree in electrical engineering and computer science from the University of California, Berkeley. His qualifications to serve on our Board include his extensive business, operational and management experience in the wireless telecommunications industry, including his current position as our Executive Chairman and his prior service as our Chief Executive Officer. His extensive knowledge of our business, products, strategic relationships and opportunities, as well as the rapidly evolving technologies and competitive environment in our industry, bring valuable insights and knowledge to our Board.</t>
  </si>
  <si>
    <t>13701-07P</t>
  </si>
  <si>
    <t>Peter Buhl</t>
  </si>
  <si>
    <t>Buhl</t>
  </si>
  <si>
    <t>Beeline Bikes</t>
  </si>
  <si>
    <t>+1 (855) 582-4537</t>
  </si>
  <si>
    <t>pete@beelinebikes.com</t>
  </si>
  <si>
    <t>1100 Industrial Road</t>
  </si>
  <si>
    <t>Suite 7</t>
  </si>
  <si>
    <t>Mr. Peter Buhl is a Co-founder and serves as Chief Executive Officer Beeline Bikes. He also is an Angel Investor. Pete served as COO of AppCentral. Prior to joining AppCentral, Buhl spent over 13 years at BlueRun Ventures, where he was a co-founding partner. At BlueRun, the partner helped raise $1 billion across four funds, while focusing on enterprise and mobile investments. Buhl has served on the boards of Netli, Like.com, PayPal, and Location Labs, to name a few. He holds a BS (Bachelor of Science) in Business Administration from University of California, Berkeley.</t>
  </si>
  <si>
    <t>13908-61P</t>
  </si>
  <si>
    <t>Anil Thadani</t>
  </si>
  <si>
    <t>Thadani</t>
  </si>
  <si>
    <t>Anil</t>
  </si>
  <si>
    <t>Non-Executive Chairman</t>
  </si>
  <si>
    <t>Alcazar Capital</t>
  </si>
  <si>
    <t>+971 (0)4 706 0300</t>
  </si>
  <si>
    <t>Dubai, United Arab Emirates</t>
  </si>
  <si>
    <t>North Tower, 2204 Emirates Financial Towers, DIFC</t>
  </si>
  <si>
    <t>PO Box 506672</t>
  </si>
  <si>
    <t>Dubai</t>
  </si>
  <si>
    <t>United Arab Emirates</t>
  </si>
  <si>
    <t>+971 (0)4 329 6967</t>
  </si>
  <si>
    <t>Mr. Anil Thadani serves as Non-Executive Chairman at Alcazar Capital. Mr. Thadani serves as Chairman at Symphony Capital Partners. He is the Chairman of Symphony's investment manager, Symphony Investment Managers Limited. He trained as a chemical engineer and has a BTech from IIT-Madras, an MS in Chemical Engineering from the University of Wisconsin, Madison, and an MBA from the University of California, Berkeley. He began his career as a research engineer with Chevron Chemical Company, in California. He subsequently completed his MBA before joining the Bank of America in San Francisco. He has worked in the Asia-Pacific region since 1975: he was with the Bank of America, in Japan, the Philippines and Hong Kong, until 1981 when he founded one of the first private equity investment companies in Asia. Anil has sat on the boards of a number of companies in Asia, Europe and North America, and continues to represent Symphony on the boards of portfolio companies. He is also a member of the Board of Trustees of Singapore Management University and is Chairman of the university's Institute for Innovation and Entrepreneurship.</t>
  </si>
  <si>
    <t>39594-79P</t>
  </si>
  <si>
    <t>Chris Hulls</t>
  </si>
  <si>
    <t>Hulls</t>
  </si>
  <si>
    <t>Chris</t>
  </si>
  <si>
    <t>Co-Founder, Chief Executive Officer and Board Member</t>
  </si>
  <si>
    <t>Life360</t>
  </si>
  <si>
    <t>+1 (415) 462-0002 x706</t>
  </si>
  <si>
    <t>chris@life360.com</t>
  </si>
  <si>
    <t>539 Bryant Street</t>
  </si>
  <si>
    <t>Suite 402</t>
  </si>
  <si>
    <t>94107</t>
  </si>
  <si>
    <t>Mr. Chris Hulls is a Co-Founder at Life360 and serves as Chief Executive Officer and Board Member. Before doing the whole startup segment, he did a stint in banking at Goldman Sachs and spent a few years in the Air Force. He went to college at UC Berkeley and was about to start class at Harvard Business School when he had a last-minute change of heart and decided to pioneer the trend of being an ivy league pre-dropout. In his time off. He is also widely credited with coining the term App Store Optimization. He holds BS (Bachelor of Science) in Business Administration from University of California, Berkeley.</t>
  </si>
  <si>
    <t>39709-27P</t>
  </si>
  <si>
    <t>David Soane Ph.D</t>
  </si>
  <si>
    <t>Soane</t>
  </si>
  <si>
    <t>Founder &amp; Board Member</t>
  </si>
  <si>
    <t>Crop Enhancement</t>
  </si>
  <si>
    <t>+1 (617) 871-2101</t>
  </si>
  <si>
    <t>dsoane@crop-enhancement.com</t>
  </si>
  <si>
    <t>2186 Bering Drive</t>
  </si>
  <si>
    <t>95131</t>
  </si>
  <si>
    <t>+1 (617) 871-2102</t>
  </si>
  <si>
    <t>Dr. David Soane is the Founder and serves as Board Member at Crop Enhancement. He is a serial entrepreneur and prolific innovator in the fields of polymer chemistry and nanotechnology. At Crop Enhancement, he spearheads the company's creative problem-solving to provide novel answers for difficult industry problems. Applying nanotechnology and chemical engineering to a variety of mature industries, he has founded a number of successful companies: ACLARA (NASDAQ: ACLA), a manufacturer of diagnostic test products; Nano-tex, a manufacturer of textile materials that have been licensed by L.L. Bean, Eddie Bauer and many others; 2C Optics, an eyeglass lens manufacturer; ZMS, a contact lens manufacturer; and ICBM, building materials and wallboard producer. Before his commercial ventures, Dr. Soane was a tenured Professor of Chemical Engineering at UC Berkeley, with hundreds of scientific articles and patents in his resume. He received his Ph.D. in chemical engineering from UC Berkeley.</t>
  </si>
  <si>
    <t>35739-55P</t>
  </si>
  <si>
    <t>Dean Drako</t>
  </si>
  <si>
    <t>Drako</t>
  </si>
  <si>
    <t>Dean</t>
  </si>
  <si>
    <t>Eagle Eye Networks</t>
  </si>
  <si>
    <t>+1 (512) 473-0500</t>
  </si>
  <si>
    <t>ddrako@eagleeyenetworks.com</t>
  </si>
  <si>
    <t>Austin, TX</t>
  </si>
  <si>
    <t>4611 Bee Caves Road</t>
  </si>
  <si>
    <t>Suite 200</t>
  </si>
  <si>
    <t>Austin</t>
  </si>
  <si>
    <t>Texas</t>
  </si>
  <si>
    <t>78746</t>
  </si>
  <si>
    <t>Mr. Dean Drako is the Founder and serves as Chief Executive Officer at Eagle Eye Networks. He also is the Owner and serves as Executive Chairman at LivingTree. He was the founder and served as Chief Executive Officer and President at Hubstorm. He left Barracuda Networks in 2012 to establish Eagle Eye Networks and lead it to be the first cloud-based video surveillance company to provide both cloud and on-premise recording. In 2015, Eagle Eye Networks was named to CSO Outlook's "10 promising cloud security providers". Previously, as founder, president and CEO of Barracuda Networks, Dean created the industry's first email security appliance in 2003 and subsequently grew the company to more than 140 products, 150,000 customers and approximately 1000 employees. Dean is also the owner and Chairman of Brivo, a cloud access control company. Dean was previously the founder of Boldfish, a leading provider of enterprise messaging solutions that was acquired by Siebel Systems in 2003. Dean was founder, President and CEO of Design Acceleration, Inc (DAI), a maker of superior design analysis and verification tools, which was acquired by Cadence Design Systems in 1998. Dean received his BSEE from the University of Michigan, Ann Arbor and MSEE from the University of California, Berkeley. Goldman Sachs named Dean as one of the "100 Most Intriguing Entrepreneurs of 2014."</t>
  </si>
  <si>
    <t>12759-40P</t>
  </si>
  <si>
    <t>Hsing Kung Ph.D</t>
  </si>
  <si>
    <t>Kung</t>
  </si>
  <si>
    <t>Hsing</t>
  </si>
  <si>
    <t>Acorn Campus Ventures</t>
  </si>
  <si>
    <t>+1 (408) 598-4200</t>
  </si>
  <si>
    <t>Sunnyvale, CA</t>
  </si>
  <si>
    <t>1237 East Arques Avenue</t>
  </si>
  <si>
    <t>Sunnyvale</t>
  </si>
  <si>
    <t>94085</t>
  </si>
  <si>
    <t>+1 (408) 598-4201</t>
  </si>
  <si>
    <t>Dr. Hsing Kung serves as Managing Partner at Acorn Campus Ventures. He Co-Founded Pine Photonics in 2000 and served as President/ CEO until merge with Opnext. He has then served as Sr. VP of Opnext Inc until 2005. Currently, he is a partner of Acorn Campus Ventures and Chairman of Luxnet Corporation. His previous experience included co-founder/VP manufacturing of SDL Inc. from 1983 to 1997. He also serves on the boards of several optoelectronics companies. Dr. Kung was former chairman of Monte Jade (West coast) in 2004. In recent years, he has devoted to promote Chinese-American participation in main stream community. He was a former board member of Fremont Union High School District Board. In his tenure, he has made significant contribution to promote multi-culture climate in high schools. In addition, he also involved in many other community programs and foundations. Currently, he serves on United Way Silicon Valley Board, and American Leadership Forum Silicon Valley board. Dr. Kung holds BSEE from National Cheng Kung University, PhD EE from University of California at Berkeley, and MBA from Santa Clara University. In 1997, he was awarded Distinguished Alumni Award from Northern American National Cheng Kung University Alumni Association. In March 2001, he has received a Partnering for Education award from The National Council of Negro Women, Northern California Sections. In December, 2001, Margaret and Hsing have received "Venture Culturists" award from DeAnza College. In 2002, he received "Asian American Hero 2002" award from County of Santa Clara. In April 2004, he received "Community Star Award" from Asian Americans for Community Involvement, and "Helen Tao Activist of Year" Award from Silicon Valley APA Democratic Club. He is also a Co-Founder and serves as Strategy Advisor at InnoLight.</t>
  </si>
  <si>
    <t>47982-79P</t>
  </si>
  <si>
    <t>John Hanke</t>
  </si>
  <si>
    <t>Hanke</t>
  </si>
  <si>
    <t>Niantic</t>
  </si>
  <si>
    <t>+1 (650) 539-4653</t>
  </si>
  <si>
    <t>john@nianticlabs.com</t>
  </si>
  <si>
    <t>1 Ferry Building</t>
  </si>
  <si>
    <t>Mr. John Hanke is a Co-Founder of Niantic, where he serves as Chief Executive Officer and Board Member. He also served as Vice President at Google. He is the Director of SourceTrace Systems. He's also a Co-founder and served as a President and the Chief Operating Officer at Big Network. Mr. Hanke received his MBA from the Haas School of Business at UC Berkeley in 1996 and has a BA from the University of Texas at Austin.</t>
  </si>
  <si>
    <t>38168-47P</t>
  </si>
  <si>
    <t>Mark De Souza Ph.D</t>
  </si>
  <si>
    <t>De Souza</t>
  </si>
  <si>
    <t>Co-Founder and Executive Chairman</t>
  </si>
  <si>
    <t>NFlection Therapeutics</t>
  </si>
  <si>
    <t>+1 (857) 222-4653</t>
  </si>
  <si>
    <t>mdesouza@nflectionrx.com</t>
  </si>
  <si>
    <t>Wayne, PA</t>
  </si>
  <si>
    <t>714 Woodcrest Road</t>
  </si>
  <si>
    <t>Wayne</t>
  </si>
  <si>
    <t>Pennsylvania</t>
  </si>
  <si>
    <t>19087</t>
  </si>
  <si>
    <t>Dr. Mark De Souza is a Co-Founder of NFlection Therapeutics and serves as its Executive Chairman. He serves as Chief Operating Officer, Chief Financial Officer &amp; Board Member at SonALAsense. He is also Co-Founder and serves as the Chief Executive Officer and as the Board Member and as the President at FibRx Derm. He is a Co-Founder and also serves as the Director and Executive Chairman at FlightPath Biosciences. He is also a Co-Founder and Chairman of MyoTherix, where he serves as Chief Operating Officer. He serves as Executive Chairman and President at Wings Therapeutics. Mr. de Souza is a Co-Founder and Board Member of Chromaderm, where he serves as Chief Executive Officer and President. He is also an angel investor. He serves as Director at Excelimmune. He served as Chief Executive Officer and President at Lotus Tissue Repair, which he co-founded in 2010 to develop recombinant collagen VII as protein replacement therapy for a devastating orphan genetic disease, dystrophic epidermolysis bullosa. Lotus Tissue Repair secured a $26 million Series A commitment from Third Rock Ventures in 2011. The company was acquired by the Shire in early 2013. Prior to founding Lotus, he served as Vice President of Business Development at Dyax Corp, a biopharmaceutical company which discovered, developed and commercialized KALBITOR®, its lead product in hereditary angioedema, an orphan genetic disease. Since 2003, he led the business development team, which was responsible for licensing Dyax's phage display technology and products, including KALBITOR®, generating greater than $200 million in license fees and other forms of financing from a 50+ antibody, protein and peptide technology and product licensing transactions. Prior to joining Dyax, he conducted academic research at the University of California, Berkeley. From the University of California, Berkeley he earned a Ph.D.</t>
  </si>
  <si>
    <t>37047-70P</t>
  </si>
  <si>
    <t>Ronald Packard</t>
  </si>
  <si>
    <t>Packard</t>
  </si>
  <si>
    <t>Ronald</t>
  </si>
  <si>
    <t>Chief Executive Officer &amp; Co-Founder</t>
  </si>
  <si>
    <t>Pansophic Learning</t>
  </si>
  <si>
    <t>+1 (703) 206-6225</t>
  </si>
  <si>
    <t>rpackard@pansophiclearning.com</t>
  </si>
  <si>
    <t>McLean, VA</t>
  </si>
  <si>
    <t>1650 Tysons Boulevard</t>
  </si>
  <si>
    <t>Suite 600</t>
  </si>
  <si>
    <t>McLean</t>
  </si>
  <si>
    <t>Virginia</t>
  </si>
  <si>
    <t>22102</t>
  </si>
  <si>
    <t>Mr. Ronald Packard is a Co-Founder of Pansophic Learning and serves as its Chief Executive Officer. He also serves as Board Member at International School of Berne. Mr. Packard is a well-known educator, entrepreneur and visionary as well as the author of the highly regarded and reviewed book Education Transformation. Packard was previously the long time CEO and Founder of K12 Inc. He oversaw the growth of K12 from just an idea to almost one billion in revenue, making it one of the largest education companies in the world. During his tenure, revenue compounded at near 80%. Before K12, Packard was the Vice President of Knowledge Universe and CEO of Knowledge Schools, one of the nation's largest early childhood education companies. He was also instrumental in the successful investments in Learn Now, Children's School USA, Leapfrog, TEC, and Children's Discovery Center. Packard also worked for McKinsey &amp; Company and for Goldman Sachs in mergers and acquisitions. Packard has received the Education Industry Association's James P. Boyle Entrepreneurial Leadership Award, as well as the Ernst &amp; Young Entrepreneur of the Year Award in the IT Services &amp; Solutions category in Greater Washington. The University of Chicago's Booth School of Business named him a Distinguished Alumni, and he also received an Outstanding Leadership Award from the United States Distance Learning Association. He is Chairman of the Board for Middlebury Interactive Languages, LLC, a member of the K12 Inc. Board of Directors, and sits on the Digital Learning Council. Packard previously served on the Department of Defense's Education Advisory Committee. Packard has been featured on nationwide radio and television shows and magazines, including Bloomberg TV, Forbes, and the Washington Post to name a few. He holds a B.A. from the University of California at Berkeley and an M.B.A. from the University of Chicago, both with honors. He also served as Director, Safanad Education at Safanad.</t>
  </si>
  <si>
    <t>43630-66P</t>
  </si>
  <si>
    <t>Anthony Lando</t>
  </si>
  <si>
    <t>Lando</t>
  </si>
  <si>
    <t>Anthony</t>
  </si>
  <si>
    <t>President &amp; Chief Executive Officer</t>
  </si>
  <si>
    <t>The Innovation Factory</t>
  </si>
  <si>
    <t>+1 (888) 935-4411</t>
  </si>
  <si>
    <t>alando@tif.net</t>
  </si>
  <si>
    <t>Duluth, GA</t>
  </si>
  <si>
    <t>2905 Premiere Pkwy</t>
  </si>
  <si>
    <t>Suite 150</t>
  </si>
  <si>
    <t>Duluth</t>
  </si>
  <si>
    <t>30097</t>
  </si>
  <si>
    <t>Mr. Anthony Lando serves as President &amp; Chief Executive Officer at The Innovation Factory. He is a Co-Founder and serves as Board Member and Co-Chief Executive Officer at Sebacia. He serves as Partner at Accuitive Medical Ventures. He served as Chief operating Officer at BTG plc., based in London, England. Mr. Lando has over 15 years experience in operations, intellectual property development, financial management and fundraising for public and private companies, as well as in creating and developing technology-based companies. Prior positions include Senior Marketing and Product Development with Philips Medical Systems in the areas of digital radiography, cardiovascular imaging and PACS. Mr. Lando began his career with Stone Webster Engineering as an Environmental Physicist in the nuclear power division. He holds a BS in Physics from Manhattan College and graduate degrees in Nuclear Engineering and Imaging Physics from Georgia Tech and the University of California, respectively. He served as Board Member at Halscion.</t>
  </si>
  <si>
    <t>30935-80P</t>
  </si>
  <si>
    <t>Ben Elowitz</t>
  </si>
  <si>
    <t>Elowitz</t>
  </si>
  <si>
    <t>Ben</t>
  </si>
  <si>
    <t>Zeitworks</t>
  </si>
  <si>
    <t>+1 (408) 458-0414</t>
  </si>
  <si>
    <t>ben@zeitworks.com</t>
  </si>
  <si>
    <t>Seattle, WA</t>
  </si>
  <si>
    <t>999 Third Avenue</t>
  </si>
  <si>
    <t>33rd Floor</t>
  </si>
  <si>
    <t>Seattle</t>
  </si>
  <si>
    <t>Washington</t>
  </si>
  <si>
    <t>98104</t>
  </si>
  <si>
    <t>Mr. Ben Elowitz is a Co-Founder and serves as Board Member at Zeitworks. He also serves as Managing Director at Madrona Venture Labs. He serves as Advisor at Connected Signals and Magnolia Medical Technologies. He co-founded two companies, Blue Nile and Wetpaint, and was an early employee in one of the first e-commerce companies, Fatbrain. Over the last decade, he has been an active angel investor and hands on advisor and Chief Executive Officer coach for startups on the West Coast. Mr. Elowitz earned a Bachelor of Arts in Applied Mathematics and a Bachelor of Science in Electrical Engineering and Computer Science from the University of California, Berkeley.</t>
  </si>
  <si>
    <t>47226-88P</t>
  </si>
  <si>
    <t>Charles Marston Ph.D</t>
  </si>
  <si>
    <t>Marston</t>
  </si>
  <si>
    <t>Charles</t>
  </si>
  <si>
    <t>Interim Chief Executive Officer &amp; Board Member</t>
  </si>
  <si>
    <t>Krystallize Technologies</t>
  </si>
  <si>
    <t>+1 (877) 536-0561</t>
  </si>
  <si>
    <t>13706 Research Boulevard</t>
  </si>
  <si>
    <t>Suite 111</t>
  </si>
  <si>
    <t>78750</t>
  </si>
  <si>
    <t>Dr. Charles Marston is a Co-Founder at Eileses Capital. Dr. Marston serves as Chairman and Co-Founder at Calypso Technology. He also serves as Board Member and Advisor at HealthPals. He also serves as Chief Executive Officer and Board Member at Calypso Technology. He serves as Interim Chief Executive Officer and Board Member at Krystallize Technologies. Prior to this, he worked at Infinity Financial Technology where his roles included President and Chairman and previous to that at Bank of America in the trading and capital markets area. He has a Ph.D. in Economics from University of California at Berkeley.</t>
  </si>
  <si>
    <t>92937-25P</t>
  </si>
  <si>
    <t>Craig Walker JD</t>
  </si>
  <si>
    <t>Walker</t>
  </si>
  <si>
    <t>Craig</t>
  </si>
  <si>
    <t>Dialpad</t>
  </si>
  <si>
    <t>+1 (415) 805-2100</t>
  </si>
  <si>
    <t>craig@dialpad.com</t>
  </si>
  <si>
    <t>100 California Street</t>
  </si>
  <si>
    <t>Suite 500</t>
  </si>
  <si>
    <t>Mr. Craig Walker is a Co-Founder of Dialpad and serves as its Chief Executive Officer and Board Member. Previously, he was Founder and CEO of GrandCentral Communications (now Google Voice) and prior to that, ran Yahoo! Voice as the Senior Director of VoIP at Yahoo. He received his B.A. from UC Berkeley, his M.B.A. from Georgetown University and his J.D. from Boalt Hall School of Law at UC Berkeley.</t>
  </si>
  <si>
    <t>48232-63P</t>
  </si>
  <si>
    <t>David Graham</t>
  </si>
  <si>
    <t>Graham</t>
  </si>
  <si>
    <t>Arizona Bay</t>
  </si>
  <si>
    <t>+1 (888) 408-1100</t>
  </si>
  <si>
    <t>davidgraham@arizonabay.com</t>
  </si>
  <si>
    <t>548 Market Street Number 30734</t>
  </si>
  <si>
    <t>94104</t>
  </si>
  <si>
    <t>Mr. David Graham serves as Managing Partner at Arizona Bay Technology Ventures. He is also a Co-Founder and serves as the Chief Executive Officer at CloudSponge. He is a Co-Founder and serves as Partner &amp; Chief Executive Officer at Bottlerock. He served as Founding Partner at Greenstart. He also served as a director at TrustMe.com. For more than a decade Dave has been building and operating tech and e-commerce companies. Dave works hands-on with entrepreneurial start-ups on strategic development, investment and operations. He is tireless in championing the little guy in his fight for start-up capital and knows how to effectively manage the seed money when it has been sown. The BA from the University of California at Los Angeles and the MBA from Columbia has helped along the way, but the real-life creation and shaping of companies make shinier badges of honor.</t>
  </si>
  <si>
    <t>43548-94P</t>
  </si>
  <si>
    <t>Doug Brien</t>
  </si>
  <si>
    <t>Brien</t>
  </si>
  <si>
    <t>Doug</t>
  </si>
  <si>
    <t>Mynd Management</t>
  </si>
  <si>
    <t>+1 (833) 367-6963</t>
  </si>
  <si>
    <t>doug@mynd.co</t>
  </si>
  <si>
    <t>1611 Telegraph Avenue</t>
  </si>
  <si>
    <t>12th Floor</t>
  </si>
  <si>
    <t>95612</t>
  </si>
  <si>
    <t>Mr. Doug Brien is a Co-Founder and serves as Chief Executive Officer and Board Member at Mynd Property Management. He founded Mynd Management in 2016 with his close friend, Colin Wiel after achieving great success together at Starwood Waypoint (NYSE: SWAY), formerly Waypoint Homes. Doug has been listed as one of the Goldman Sachs Top 100 Most Innovative Entrepreneurs and earned the Ernst &amp; Young Entrepreneur of the Year. He is the former CEO of Starwood Waypoint (NYSE: SWAY), received a BA from University of California and an MBA from Tulane.</t>
  </si>
  <si>
    <t>16092-73P</t>
  </si>
  <si>
    <t>Pehong Chen Ph.D</t>
  </si>
  <si>
    <t>Chen</t>
  </si>
  <si>
    <t>Pehong</t>
  </si>
  <si>
    <t>Weibo</t>
  </si>
  <si>
    <t>+86 (0)10 5898 3017</t>
  </si>
  <si>
    <t>pchen@vmoso.com</t>
  </si>
  <si>
    <t>Beijing, China</t>
  </si>
  <si>
    <t>No.8 Sina Plaza, Courtyard 10</t>
  </si>
  <si>
    <t>The West, XiBeiWang E. Road</t>
  </si>
  <si>
    <t>Beijing</t>
  </si>
  <si>
    <t>HaiDian</t>
  </si>
  <si>
    <t>100080</t>
  </si>
  <si>
    <t>China</t>
  </si>
  <si>
    <t>+86 (0)10 8260 7167</t>
  </si>
  <si>
    <t>Dr. Pehong Chen serves as Chief Executive Officer at Vmoso. He is the Founder &amp; serves as Chairman of the Board, President &amp; Chief Executive Officer at Broadvision. He also served as our independent director since January 2016. Before that, he served as a director of SINA between March 1999 and December 2015. Mr. Chen has been the Chief Executive Officer, President, and Chairman of the board of BroadVision Inc., a software applications company, since May 1993. Prior to founding BroadVision, Mr. Chen was Vice President of Multimedia Technology at Sybase, Inc., an enterprise software company, from 1992 to 1993. From 1989 to 1992, Mr. Chen founded and was President of Gain Technology, a multimedia software tools company, which was acquired by Sybase. He currently also serves on the board of director of the Asian Art Museum. Mr. Chen received a B.S. in Computer Science from National Taiwan University, an M.S. in Computer Science from Indiana University, and a Ph.D. in Computer Science from the University of California at Berkeley.</t>
  </si>
  <si>
    <t>41506-30P</t>
  </si>
  <si>
    <t>Rui Ma</t>
  </si>
  <si>
    <t>Ma</t>
  </si>
  <si>
    <t>Rui</t>
  </si>
  <si>
    <t>Tranformative Technology Academy</t>
  </si>
  <si>
    <t>Cheyenne, WY</t>
  </si>
  <si>
    <t>1621 Central Avenue</t>
  </si>
  <si>
    <t>Cheyenne</t>
  </si>
  <si>
    <t>Wyoming</t>
  </si>
  <si>
    <t>82001</t>
  </si>
  <si>
    <t>Ms. Rui Ma is a Co-Founder of Tranformative Technology Academy. Ms. Rui Ma served as a Partner at 500 Startups. She recruits and trains savvy and resourceful startup operatives for 500 in Greater China. Previously Rui was under deep cover at corporations such as Merrill Lynch, Morgan Stanley and the Raine Group.</t>
  </si>
  <si>
    <t>46377-82P</t>
  </si>
  <si>
    <t>Stephanie Dimarco</t>
  </si>
  <si>
    <t>Dimarco</t>
  </si>
  <si>
    <t>Stephanie</t>
  </si>
  <si>
    <t>Board Member, Founder &amp; Chairman</t>
  </si>
  <si>
    <t>Advent Software</t>
  </si>
  <si>
    <t>+1 (800) 727-0605</t>
  </si>
  <si>
    <t>stephanie.dimarco@advent.com</t>
  </si>
  <si>
    <t>600 Townsend Street</t>
  </si>
  <si>
    <t>3rd Floor</t>
  </si>
  <si>
    <t>94103</t>
  </si>
  <si>
    <t>Ms. Stephanie DiMarco is a Founder and serves as a Board Member at Advent Software. She founded Advent in June 1983 and currently serves as Strategic Advisor to the Company. She serves as an Independent Director at Artisan Management Asset Management. She served as Chair of the Board from November 1995 until December 2003, and as a member of the Board thereafter. She served as Chief Executive Officer from December 2003 to June 2012, after serving as interim CEO from May 2003. Following her appointment as the interim Chief Financial Officer from July 2008 to December 2008, she served as Chief Financial Officer from December 2008 to September 2009. She also served as President from June 1983 to April 1997 and again from May 2003 to December 2008, and as Chief Executive Officer from June 1983 to November 1999. She is a former member of the Board of Trustees of the UC Berkeley Foundation, serves on the Advisory Board of the College of Engineering at the University of California, Berkeley, and is a Board member of Summer Search, a non profit organization. Ms. DiMarco holds a B.S. in Business Administration from the University of California at Berkeley. She also serves as Advisor at Nyca Partners.</t>
  </si>
  <si>
    <t>63662-68P</t>
  </si>
  <si>
    <t>Anant Yardi</t>
  </si>
  <si>
    <t>Yardi</t>
  </si>
  <si>
    <t>Anant</t>
  </si>
  <si>
    <t>Founder and President</t>
  </si>
  <si>
    <t>Yardi Systems</t>
  </si>
  <si>
    <t>+1 (805) 699-2040</t>
  </si>
  <si>
    <t>anant.yardi@yardi.com</t>
  </si>
  <si>
    <t>Santa Barbara, CA</t>
  </si>
  <si>
    <t>430 South Fairview Avenue</t>
  </si>
  <si>
    <t>Santa Barbara</t>
  </si>
  <si>
    <t>93117</t>
  </si>
  <si>
    <t>+1 (805) 699-2044</t>
  </si>
  <si>
    <t>Mr. Anant Yardi is the Founder and serves as President at Yardi Systems. In 1982, he recognized the need for an integrated accounting and property management software for the residential marketplace. As the director of systems development for Burroughs Corporation (now Unisys) and with 14 years of programming experience, he knew he had the background to design such a product. In 1984, "Basic Property Management" was created for the Apple II computer and was sold to our first customer, Sabaco Realtors. Since that time, Anant has directed the company through over 30 years of steady growth, remaining the President and sole owner as Yardi became a leader in real estate asset and property management solutions. Today, Anant continues to serve as President of Yardi Systems, and his vision is the driving force behind the development of effective and innovative software solutions for global real estate portfolio management. He has been recognized as one of the early pioneers in the commercial real estate automation industry, a "visionary in respect to automation systems and the resultant benefits in property operations," according to Realcomm, when they honored him with the 2004 "Digie" award . He was inducted into the Multi-Housing News "Hall of Fame" that same year, and his company continues to receive industry accolades. Anant has an M.A. in Engineering from the University of California at Berkeley, and worked for 14 years developing programming methodologies and directing systems development at Burroughs Corporation prior to establishing Yardi Systems.</t>
  </si>
  <si>
    <t>96376-06P</t>
  </si>
  <si>
    <t>Dmitry Dakhnovsky</t>
  </si>
  <si>
    <t>Dakhnovsky</t>
  </si>
  <si>
    <t>Dmitry</t>
  </si>
  <si>
    <t>Founder &amp; Partner</t>
  </si>
  <si>
    <t>Stereo Capital</t>
  </si>
  <si>
    <t>dd@stereocap.vc</t>
  </si>
  <si>
    <t>530 Lytton Avenue</t>
  </si>
  <si>
    <t>Second Floor</t>
  </si>
  <si>
    <t>Mr. Dmitry Dakhnovsky is a Founder &amp; serves as Partner at Stereo Capital. He is also a Co-Founder of rollApp and is a Board Observer for Zumper.</t>
  </si>
  <si>
    <t>120067-48P</t>
  </si>
  <si>
    <t>Jonathan Berman</t>
  </si>
  <si>
    <t>Berman</t>
  </si>
  <si>
    <t>Jonathan</t>
  </si>
  <si>
    <t>Now Health Technologies</t>
  </si>
  <si>
    <t>+44 (0)20 2203 9258</t>
  </si>
  <si>
    <t>jberman@nowhealth.io</t>
  </si>
  <si>
    <t>Mr. Jonathan Berman is a Co-Founder of Now Health Technologies. He serves as Board Member at Asoko Insight. Mr. Jonathan Berman serves as Chief Executive Officer at J.E. Berman Associates. He is CEO of J.E. Berman Associates and a fellow of the Milken Institute. Previously, he served as partner and director of the corporate practice at Dalberg, a strategic advisory firm focused on frontier markets. He's the author of Success in Africa, and writes a regular feature on leadership and global markets for Harvard Business Review.</t>
  </si>
  <si>
    <t>138970-90P</t>
  </si>
  <si>
    <t>Josep Boliart</t>
  </si>
  <si>
    <t>Boliart</t>
  </si>
  <si>
    <t>Josep</t>
  </si>
  <si>
    <t>Co-Founder &amp; President &amp; Chief Executive Officer</t>
  </si>
  <si>
    <t>InKemia</t>
  </si>
  <si>
    <t>+34 93 579 3432</t>
  </si>
  <si>
    <t>Barcelona, Spain</t>
  </si>
  <si>
    <t>C Àlvarez de Castro, 63</t>
  </si>
  <si>
    <t>Mollet del Vallès</t>
  </si>
  <si>
    <t>Barcelona</t>
  </si>
  <si>
    <t>08100</t>
  </si>
  <si>
    <t>Spain</t>
  </si>
  <si>
    <t>+34 93 570 5745</t>
  </si>
  <si>
    <t>Mr. Josep Castells Boliart is a Co-Founder and serves as President, Co-Chief Executive Officer, Board Member and Managing Director at InKemia. He serves as Board Member at Bioo.He is a Doctor Cum Laude and graduate in organic chemistry by the University of Barcelona. He also hods a Post-doctorate degree in organic synthesis by Berkley University in California. From 1989 to 1997 he was a professor in the Pharmacology and Therapeutic Chemistry Department in the Pharmaceutical Faculty at the University of Barcelona. During this period he also acted as an outside consultant specialized in technical services for companies in the chemical and pharmaceutical sector, all this through the Sant Gervasi School. Later he became founder, President and CEO of the company Catalonia Internet Service Provider, SA from 1196 to 1998, this company was later sold to the British multinational Claranet.</t>
  </si>
  <si>
    <t>48047-77P</t>
  </si>
  <si>
    <t>Michael Milken</t>
  </si>
  <si>
    <t>Milken</t>
  </si>
  <si>
    <t>Michael</t>
  </si>
  <si>
    <t>KinderCare Education</t>
  </si>
  <si>
    <t>Portland, OR</t>
  </si>
  <si>
    <t>P.O. Box 6330</t>
  </si>
  <si>
    <t>Portland</t>
  </si>
  <si>
    <t>Oregon</t>
  </si>
  <si>
    <t>97228</t>
  </si>
  <si>
    <t>Mr. Michael Milken is a Co-Founder at KinderCare Education. He also serves as Co-Founder, President &amp; Director at Milken Family Foundation. The National Association of State Boards of Education honored him with the Friend of Education Award in 1997. He co-founded the Milken Family Foundation in 1982 to advance programmes in medical research and education. More recently, he founded FasterCures to remove barriers to progress against all life-threatening diseases. Mike also chairs the Milken Institute, an economic think tank whose annual Global Conference brings leaders of business and government from 60 nations to Los Angeles. He earned his bachelor's degree with highest distinction at the University of California, Berkeley, and his Master of Business Administration from the University of Pennsylvania's Wharton School. He is also an Angel Investor.</t>
  </si>
  <si>
    <t>111227-23P</t>
  </si>
  <si>
    <t>Miguel Valls</t>
  </si>
  <si>
    <t>Valls</t>
  </si>
  <si>
    <t>Miguel</t>
  </si>
  <si>
    <t>Co-Founder &amp; Chairman</t>
  </si>
  <si>
    <t>Nektria</t>
  </si>
  <si>
    <t>+34 93 348 5185</t>
  </si>
  <si>
    <t>miguel@nektria.com</t>
  </si>
  <si>
    <t>Avinguda Diagonal, 440, 7º</t>
  </si>
  <si>
    <t>08037</t>
  </si>
  <si>
    <t>Mr. Miguel Valls is a Co-Founder and serves as Chairman at Nektria. He served as Board Advisor at Clear Labs. He also served as a General Partner at Alta Life Sciences. He is also an Angel Investor. Mr. Valls holds a Bachelor in Law from University of Barcelona, (Barcelona, 1986-1992) and an Executive Education Degree from University of California, Berkeley (2009). He serves as the Board Advisor at SoundHound.</t>
  </si>
  <si>
    <t>16369-30P</t>
  </si>
  <si>
    <t>Mitchell Finer Ph.D</t>
  </si>
  <si>
    <t>Finer</t>
  </si>
  <si>
    <t>Mitchell</t>
  </si>
  <si>
    <t>AlloVir</t>
  </si>
  <si>
    <t>+1 (936) 662-3626</t>
  </si>
  <si>
    <t>mitchellfiner@elevatebio.squarespace.com</t>
  </si>
  <si>
    <t>Houston, TX</t>
  </si>
  <si>
    <t>2925 Richmond Avenue</t>
  </si>
  <si>
    <t>Suite 1200</t>
  </si>
  <si>
    <t>Houston</t>
  </si>
  <si>
    <t>77098</t>
  </si>
  <si>
    <t>Dr. Mitchell Finer is a Co-Founder of Coda Biotherapeutics and serves as its Board Member. He also serves as Advisor at Allovir. He is a Co-Founder and serves as Chief Scientific Officer, President of BaseCamp and Board Member at Elevatebio. He co-founded Oncorus, where he served as Chief Executive Officer and Executive Chairman. He was the Chief Scientific Officer at Oncorus. He serves as Executive Partner at MPM Capital. He served as Chief Scientific Officer at Bluebird Bio. He is a Board Member of Semma Therapeutics. Dr. Finer has served as chief scientific officer since March 2010. Prior to joining us, Dr. Finer served as senior vice president of development and operations for Novocell, Inc. (now ViaCyte, Inc.), a stem cell engineering company researching treatments for diabetes and other chronic diseases from November 2008 through March 2010. From July 2005 through November 2008, Dr. Finer served as chief executive officer of Intracel Holdings LLC. From June 2003 to June 2005, he held the position of president and chief executive officer of Genteric Inc., or Genteric. Previously, he had served as Genteric's chief scientific officer from November 2002 to June 2003 and as vice president of research and development for the Gencell division of Aventis Pharma (now Sanofi) from April 2002 to November 2002. He was also a founder and vice president of research for Cell Genesys Inc., and a founder of Abgenix, Inc. and Avalanche Biotechnologies, Inc. Dr. Finer received his B.A. in biochemistry and bacteriology from the University of California at Berkeley and his PhD in biochemistry and molecular biology from Harvard University. He completed a postdoctoral fellowship at the Whitehead Institute for Biomedical Research.</t>
  </si>
  <si>
    <t>69936-49P</t>
  </si>
  <si>
    <t>Samvit Ramadurgam</t>
  </si>
  <si>
    <t>Ramadurgam</t>
  </si>
  <si>
    <t>Samvit</t>
  </si>
  <si>
    <t>Forge (Financial Software)</t>
  </si>
  <si>
    <t>+1 (415) 881-1612</t>
  </si>
  <si>
    <t>samvit@equidateinc.com</t>
  </si>
  <si>
    <t>415 Mission Street</t>
  </si>
  <si>
    <t>Suite 5510</t>
  </si>
  <si>
    <t>94105</t>
  </si>
  <si>
    <t>Mr. Samvit Ramadurgam is a Co-Founder and serves as a Board Member at Forge. He is a Co-Founder and serves as Co-Chief Executive Officer at Destiny. He also serves as an Investment Committee Member at Luca Ventures. He is a Co-Founding Partner of S2 Capital. Samvit has extensive expertise in engineering, product development, and product growth. He went through the Y Combinator program and started his first venture-backed company when he was nineteen years old. Prior to starting Equidate, Samvit co-founded Streem, a cloud storage company which was acquired by Box in 2014. Samvit is an active angel investor and frequently invests in startups through S2 Capital , where he serves as founding partner. His previous work spans numerous startups, most recently including Asana where he built out distributed systems infrastructure and Livemagic where he developed audio fingerprinting algorithms. In a previous life, he conducted research on high temperature superconductivity at the Lawrence Berkeley National Lab. Samvit holds a BS in Electrical Engineering and Computer Science from UC Berkeley.</t>
  </si>
  <si>
    <t>78576-94P</t>
  </si>
  <si>
    <t>Sherman Lee</t>
  </si>
  <si>
    <t>Lee</t>
  </si>
  <si>
    <t>Sherman</t>
  </si>
  <si>
    <t>Rocco</t>
  </si>
  <si>
    <t>Hong Kong, Hong Kong</t>
  </si>
  <si>
    <t>Hong Kong</t>
  </si>
  <si>
    <t>Ms. Sherman Lee is a Co-Founder of Rocco and also serves as its Chief Executive Officer. She is a Co-Founder of Raven Protocol. She also serves as Partner at Zeroth.ai. She is a Co-Founder and serves as Chief Executive Officer at Good Audience. She is an Angel Investor.</t>
  </si>
  <si>
    <t>41957-65P</t>
  </si>
  <si>
    <t>Adam Gazzaley Ph.D</t>
  </si>
  <si>
    <t>Gazzaley</t>
  </si>
  <si>
    <t>Adam</t>
  </si>
  <si>
    <t>Chief Scientist</t>
  </si>
  <si>
    <t>JAZZ Venture Partners</t>
  </si>
  <si>
    <t>agazzaley@jazzvp.com</t>
  </si>
  <si>
    <t>548 Market Street</t>
  </si>
  <si>
    <t>Suite 27799</t>
  </si>
  <si>
    <t>Dr. Adam Gazzaley serves as Chief Scientist at JAZZ Venture Partners. Dr. Gazzaley is a Co-Founder and serves as Chief Science Advisor at Sensync. Dr. Gazzaley was an Advisor of Foundation Ventures. He also serves as Chief Scientific Advisor &amp; Board Member at Akili. He serves as Professor of Neurology, Psychiatry &amp; Physiology at University of California, San Francisco. He is the founding director of the Neuroscience Imaging Center at the University of California, San Francisco and Principal Investigator of a cognitive neuroscience laboratory. His laboratory studies neural mechanisms of perception, attention and memory, with an emphasis on the impact of distraction and multitasking on these abilities. His unique research approach utilizes a powerful combination of human neurophysiological tools, including functional magnetic resonance imaging (fMRI), electroencephalography (EEG) and transcranial magnetic stimulation (TMS). He has authored over 70 scientific articles, delivered over 250 invited presentations around the world, and his research and perspectives have been consistently profiled in high-impact media, such as The New York Times, Wall Street Journal, TIME, CNN, PBS, NPR, and NBC Nightly News. Recently, he wrote and hosted the nationally televised, PBS-sponsored special "The Distracted Mind with Dr. Gazzaley". He also served as Advisor at PureTech Health.</t>
  </si>
  <si>
    <t>38228-14P</t>
  </si>
  <si>
    <t>Alan Knitowski</t>
  </si>
  <si>
    <t>Knitowski</t>
  </si>
  <si>
    <t>Alan</t>
  </si>
  <si>
    <t>Chief Executive Officer &amp; Founder</t>
  </si>
  <si>
    <t>Phunware</t>
  </si>
  <si>
    <t>+1 (512) 693-4199</t>
  </si>
  <si>
    <t>aknitowski@phunware.com</t>
  </si>
  <si>
    <t>7800 Shoal Creek Boulevard</t>
  </si>
  <si>
    <t>Suite 230 South</t>
  </si>
  <si>
    <t>78757</t>
  </si>
  <si>
    <t>Mr. Alan Knitowski is a Co-Founder and serves as Chief Executive Officer at Phunware. He was a Co Founder and Co Manager at Trymetris Capital Management LLC. He is the Founder and Managing Director of Ecewa Capital Group LLC, Co Founder and Co Manager of the Trymetris Capital Fund I LLC, Advisor of Edgewater Networks, Inc., and Angel Investor of numerous technology, media, biotechnology, and energy companies. Most recently, Mr. Knitowski was a Director of Marketing for the Voice Technology Group at Cisco Systems and was responsible for business, market, and community development, including business planning and strategy for Cisco's global packet communications initiatives. In November 2000, he joined Cisco as part of the Vovida Networks acquisition, where he served as Co-Founder, President, and Chief Executive Officer. He holds an M.B.A. from the University of California at Berkeley, an M.S. in Industrial Engineering from the Georgia Institute of Technology, and a B.S. in Industrial Engineering from the University of Miami.</t>
  </si>
  <si>
    <t>40737-34P</t>
  </si>
  <si>
    <t>Curtis Lee</t>
  </si>
  <si>
    <t>Curtis</t>
  </si>
  <si>
    <t>Venture Partner</t>
  </si>
  <si>
    <t>Primary Venture Partners</t>
  </si>
  <si>
    <t>curtis@primary.vc</t>
  </si>
  <si>
    <t>19 West 24th Street</t>
  </si>
  <si>
    <t>Suite 3</t>
  </si>
  <si>
    <t>10010</t>
  </si>
  <si>
    <t>Mr. Curtis Lee serves as Venture Partner at Primary Venture Partners. He serves as Vice President of Digital at Volvo Group. He was also a Co-Founder and served as the Chief Executive Officer at Luxe. He is also a Co-Founder and serves as Executive Chairman at Pinwheel. He also served as an Advisor at KohFounders. He served as Entrepreneur in Residence at Lightspeed Venture Partners. He is an experienced executive and entrepreneur with a passion for building consumer products. He was previously Vice President of Products at Groupon where he oversaw all consumer products for the company. Prior to Groupon, he was Director of Product Management at Zynga where he was responsible for one of the company's largest games, Mafia Wars; he was also the head of product for the company's Austin, Texas studio. He has also held product leadership positions at YouTube, Google and Skype and was a Senior Associate at Advanced Technology Ventures and Summit Partners. He holds an MBA from The Wharton School, University of Pennsylvania and a bachelor's degree from the University of California, Berkeley.</t>
  </si>
  <si>
    <t>131155-21P</t>
  </si>
  <si>
    <t>David Kilimnik</t>
  </si>
  <si>
    <t>Kilimnik</t>
  </si>
  <si>
    <t>Hero Digital</t>
  </si>
  <si>
    <t>+1 (415) 230-0724</t>
  </si>
  <si>
    <t>david@herodigital.com</t>
  </si>
  <si>
    <t>150 Spear Street</t>
  </si>
  <si>
    <t>Mr. David Kilimnik is the Founder and serves as Chief Executive Officer at Hero Digital.</t>
  </si>
  <si>
    <t>98508-16P</t>
  </si>
  <si>
    <t>Guo-Liang Yu Ph.D</t>
  </si>
  <si>
    <t>Yu</t>
  </si>
  <si>
    <t>Guo-Liang</t>
  </si>
  <si>
    <t>Board Member &amp; Co-Founder</t>
  </si>
  <si>
    <t>Immune-Onc Therapeutics</t>
  </si>
  <si>
    <t>guoliang.yu@apollomicsinc.com</t>
  </si>
  <si>
    <t>795 San Antonio Road</t>
  </si>
  <si>
    <t>94303</t>
  </si>
  <si>
    <t>Dr. Guo-Liang Yu is a Co-Founder and serves as Board Member at Immune-Onc. He is a Co-Founder and serves as Chief Executive Officer and Chairman at Apollomics. He served as Executive Chairman at CrownBio. He joined Dr. Ausubel's lab at Harvard to pursue the question of how plants defend themselves against pathogens without an immune system. He identified the first plant disease resistance gene. In 1993, Dr. Yu became one of the first Senior Scientists to join Human Genome Sciences Inc., when genomics was still in its infancy, to identify human genes for drug discovery. Among several important drug targets he studied, he successfully identified BLyS as the first genomic target for the development of a lupus antibody (Benlysta®, which was approved by the FDA in 2010). In 1998, he was attracted by the idea of identifying plant genes with an economic value in agriculture and in bio-energy. He became Senior Vice President of Research &amp; Development at Mendel Biotechnology, Inc. where his team analyzed the function of a complete set of plant transcription factors. Several valuable traits such as enhanced crop yield, disease resistance and drought tolerance were identified. It is expected that some of these technologies will be commercialized. Guo-Liang has co-authored 40 peer-reviewed scientific articles which have been referenced by the scientific community more than 6000 times. Guo-Liang is also a co-inventor of more than 200 patents. Guo-Liang is the founding president of the Chinese Biopharmaceutical Association and serves on the boards of several professional organizations including BayHelix, CABS, the National Foundation of Cancer Research, the Ray Wu Memorial Foundation, and the University of the Pacific in the US and China. He is generous in coaching young entrepreneurs and also serves on the board of directors for six start-up companies. He holds a Ph.D. (Doctor of Philosophy) in University of California, Berkeley. He also serves as Venture Partner at OrbiMed.</t>
  </si>
  <si>
    <t>141149-17P</t>
  </si>
  <si>
    <t>Gurdane Bhutani</t>
  </si>
  <si>
    <t>Bhutani</t>
  </si>
  <si>
    <t>Gurdane</t>
  </si>
  <si>
    <t>MBX Capital</t>
  </si>
  <si>
    <t>+1 (737) 484-6889</t>
  </si>
  <si>
    <t>gurdane@fundrx.com</t>
  </si>
  <si>
    <t>71 Broadway, Level 2B</t>
  </si>
  <si>
    <t>Suite 102</t>
  </si>
  <si>
    <t>10006</t>
  </si>
  <si>
    <t>Mr. Gurdane Bhutani is a Co-Founder and serves as Managing Partner at MBX Capital. He serves as a Board Member at Contraline. He previously worked as a consultant at Bain &amp; Company, Morgan Stanley, and was involved in launching Startup Health. He is a Kauffman fellow and bears a dual-degree in computer science and public policy from Duke University.</t>
  </si>
  <si>
    <t>36384-94P</t>
  </si>
  <si>
    <t>Razmig Hovaghimian</t>
  </si>
  <si>
    <t>Hovaghimian</t>
  </si>
  <si>
    <t>Razmig</t>
  </si>
  <si>
    <t>Partner</t>
  </si>
  <si>
    <t>Graph Ventures</t>
  </si>
  <si>
    <t>razmig@graphventures.com</t>
  </si>
  <si>
    <t>Mr. Razmig Hovaghimian is the Founder and served as the Chief Executive Officer at Pixel Labs. He is also an angel investor. He also serves as Partner at Graph Ventures. Mr. Hovaghimian was a Co-Founder and served as the Chief Executive Officer of ViKi. HE received his MBA from Stanford Graduate School of Business in 2007, and BA in Political Economy from University of California, Berkeley in 1999.</t>
  </si>
  <si>
    <t>38099-89P</t>
  </si>
  <si>
    <t>Stephen Wozniak</t>
  </si>
  <si>
    <t>Wozniak</t>
  </si>
  <si>
    <t>Stephen</t>
  </si>
  <si>
    <t>Woz u</t>
  </si>
  <si>
    <t>+1 (833) 228-7589</t>
  </si>
  <si>
    <t>swozniak@apple.com</t>
  </si>
  <si>
    <t>Scottsdale, AZ</t>
  </si>
  <si>
    <t>8444 North 90th Street</t>
  </si>
  <si>
    <t>Suite 100</t>
  </si>
  <si>
    <t>Scottsdale</t>
  </si>
  <si>
    <t>Arizona</t>
  </si>
  <si>
    <t>85258</t>
  </si>
  <si>
    <t>Mr. Stephen Wozniak is a Co-Founder of Woz u. Mr. Stephen is also a Co-Founder of Apple. He also serves as a Board Member at Penske Media. Mr. Wozniak is also a Co-Founder of EFFORCE and serves as its Engineer. He is also an Angel investor. He also served as the Chief Scientist at Primary Data. From 1971 to 1976, Mr. Wozniak held engineering positions within HP. In 1985, Mr. Wozniak was awarded the National Medal of Technology, for his role in the development and introduction of the personal computer. He also co-founded Acquicor Technology and serves as its Executive Vice President and Chief Technical Officer. After leaving Apple in 1985, Mr. Wozniak was involved in various business and philanthropic ventures, focusing primarily on computer capabilities in schools, stressing hands-on learning and encouraging creativity for students. In 2000, Mr. Wozniak was inducted into the National Inventors Hall of Fame, and he was awarded the Heinz Award in Technology, the Economy and Employment. He also co-founded the Electronic Frontier Foundation, and was a founding sponsor of the Tech Museum, Silicon Valley Ballet and Children's Discovery Museum of San Jose. Mr. Wozniak holds a B.S. in Electrical Engineering and Computer Sciences from the University of California, Berkeley. He is also a Co-Founder of EQUI Global.</t>
  </si>
  <si>
    <t>54682-39P</t>
  </si>
  <si>
    <t>Tasvir Patel</t>
  </si>
  <si>
    <t>Patel</t>
  </si>
  <si>
    <t>Tasvir</t>
  </si>
  <si>
    <t>Captiv8</t>
  </si>
  <si>
    <t>+1 (917) 670-9653</t>
  </si>
  <si>
    <t>taz@captiv8.io</t>
  </si>
  <si>
    <t>San Mateo, CA</t>
  </si>
  <si>
    <t>217 South B Street</t>
  </si>
  <si>
    <t>Suite 1</t>
  </si>
  <si>
    <t>San Mateo</t>
  </si>
  <si>
    <t>94401</t>
  </si>
  <si>
    <t>Mr. Tasvir Patel is a Co-Founder of Captiv8. He holds a Bachelor's in Law and Marketing from University of California, Berkeley. He also serves as a Venture Advisor at Green Cow Venture Capital.</t>
  </si>
  <si>
    <t>60138-55P</t>
  </si>
  <si>
    <t>Terry Rosen Ph.D</t>
  </si>
  <si>
    <t>Rosen</t>
  </si>
  <si>
    <t>Terry</t>
  </si>
  <si>
    <t>PACT Pharma</t>
  </si>
  <si>
    <t>+1 (650) 966-6707</t>
  </si>
  <si>
    <t>terry_rosen@pactpharma.com</t>
  </si>
  <si>
    <t>2 Corporate Drive</t>
  </si>
  <si>
    <t>South</t>
  </si>
  <si>
    <t>Dr. Terry Rosen is a Co-Founder and serves as Board Member at Pact Pharma. He serves as Chief Executive Officer &amp; Chairman at Arcus Biosciences. He has been leading successful drug discovery and development organizations in the biotechnology and pharmaceutical industries for over 30 years. In 2015, he co-founded Arcus Biosciences, a drug discovery company focused on the treatment of cancer by blocking tumor-induced immunosuppression. Previously, he was co-founder and CEO of Flexus Biosciences, a company created to develop small-molecule drugs to reverse tumor immunosuppression, which was acquired by Bristol-Myers Squibb early in 2015 for $1.25 billion. Prior to Flexus, Terry served as Vice President, Therapeutic Discovery (TD) at Amgen and as the site head for Amgen South San Francisco, having joined Amgen with the acquisition of Tularik in 2004. He was named Amgen Washington site head in 2006, transitioned to a leadership role heading Chemistry Research and Discovery in 2007 and became the head of Protein Sciences in 2011. He and his leadership team were responsible for the creation of the TD organization, a group of 550+ staff responsible for all of Amgen's large and small molecule drug discovery efforts. Prior to joining Amgen, Terry held several executive positions at Tularik, including Executive Vice President, Operations, Vice President, Research Operations, and Vice President, Medicinal Chemistry. He has also held scientific and management positions at Pfizer and Abbott Laboratories. Terry serves on the Salk Institute Board of Trustees, the leadership committees of the University of Michigan Undergraduate Research Opportunity Program and Life Sciences Institute, the Berkeley Chemistry Advisory Board, the Caltech Biology &amp; Bioengineering Chair's Council and the Board of the California Life Sciences Association. Terry has a B.S. degree in Chemistry from the University of Michigan and a Ph.D. in Organic Chemistry from the University of California, Berkeley. He holds numerous patents and has published extensively in the areas of medicinal and synthetic organic chemistry.</t>
  </si>
  <si>
    <t>42421-60P</t>
  </si>
  <si>
    <t>Anant Jhingran Ph.D</t>
  </si>
  <si>
    <t>Jhingran</t>
  </si>
  <si>
    <t>StepZen</t>
  </si>
  <si>
    <t>1750 Lundy Avenue</t>
  </si>
  <si>
    <t>PO Box 611956</t>
  </si>
  <si>
    <t>95161-1956</t>
  </si>
  <si>
    <t>Dr. Anant Jhingran is a Co-Founder &amp; serves as Chief Executive Officer at StepZen. Dr. Anant Jhingran serves as Board Member at Persistent Systems. Dr. Anant Jhingran served as Vice President of Products and Co-Chief Technology Officer at Apigee. He joined Apigee from IBM where he was VP and CTO for IBM's Information Management Division and Co-Chair of IBM wide Cloud Computing Architecture Board. He was responsible for the technical strategy for databases, information integration, analytics, Big Data and helped deliver IBM's PaaS capabilities. He is an Board Members at Persistent Systems.</t>
  </si>
  <si>
    <t>66288-88P</t>
  </si>
  <si>
    <t>Cesar Lee</t>
  </si>
  <si>
    <t>Cesar</t>
  </si>
  <si>
    <t>Finicast</t>
  </si>
  <si>
    <t>+1 (415) 823-8726</t>
  </si>
  <si>
    <t>cesar@finicast.com</t>
  </si>
  <si>
    <t>2555 Flores Street</t>
  </si>
  <si>
    <t>Suite 308</t>
  </si>
  <si>
    <t>94403</t>
  </si>
  <si>
    <t>Mr. Cesar Lee is a Co-Founder and serves as Chief Executive Officer &amp; Board Member at Finicast. He serves as Board Member at Atonarp. Mr. Lee served as Partner at Cota Capital. Mr. Lee served as Principal and Founding Member at WRV. He serves as Board Member at Breathometer. He has experience as a technology investor across stages and geographies, ranging from seed stage to buyout transactions in the U.S., Latin America and Asia. He served as an Investment Professional at Riverwood Capital, a technology focused growth stage and buyout private equity firm. He began his career at RBC Capital Markets, where he was part of the Mergers &amp; Acquisitions and Equity-linked &amp; Derivatives groups. While at RBC, he spent a majority of his time working on M&amp;A advisory transactions for technology companies. During 2013, he joined Samsung to help to expand its presence in Silicon Valley through the creation of Samsung's Strategy and Innovation Center. He graduated from The University of California, Berkeley, where he earned his bachelor's degree in economics with High Honors.</t>
  </si>
  <si>
    <t>42268-15P</t>
  </si>
  <si>
    <t>Chase Norlin</t>
  </si>
  <si>
    <t>Norlin</t>
  </si>
  <si>
    <t>Chase</t>
  </si>
  <si>
    <t>Transmosis</t>
  </si>
  <si>
    <t>chase@transmosis.com</t>
  </si>
  <si>
    <t>Mr. Chase Norlin is the Founder and serves as Chief Executive Officer at Transmosis. Mr. Chase Norlin is an Angel Investor. Mr. Norlin serves as the Chief Executive Officer at Transmosis. Prior to that, he was the Founder and also served as the Chief Executive Officer for Emerge Digital Group. Previously Mr. Norlin was the founder and CEO of Emerge Digital Group (EDG), named the 8th fastest growing company in America and the no. 1 fastest growing company in Silicon Valley by Inc. Magazine based on revenue growth. EDG was a holding company for a portfolio of digital marketing businesses that he founded and grew to $50mm in revenue in three years. EDG was one of the first advertising technology companies which executed a broad and aggressive roll-up strategy resulting in domestic and international acquisitions. These assets have been divested, merged, spun-out, or acquired. Norlin was Founder and CEO of Pixsy, a pioneer in video search funded by TVGuide-Gemstar (now Rovi), and served as a senior executive at ValueClick (now Conversant) where he managed publisher development for the display advertising network, paid search, and comparison shopping divisions. Prior to ValueClick Norlin held the position of Senior Consultant to InfoSpace (now Blucora). A veteran of the Internet industry, he developed Sony's first online photo sharing venture, founded the first online video sharing company, and served as a new venture consultant in launching Boeing's online video and image licensing division. Norlin is a noted speaker on digital advertising, entrepreneurship, and American labor and recent engagements include the Goldman Sachs Global Media Conference, Bloomberg Media Summit, and the Monaco Media Forum.</t>
  </si>
  <si>
    <t>88579-63P</t>
  </si>
  <si>
    <t>Daniel Broukhim JD</t>
  </si>
  <si>
    <t>Broukhim</t>
  </si>
  <si>
    <t>Daniel</t>
  </si>
  <si>
    <t>Co-Founder &amp; Co-Chief Executive Officer</t>
  </si>
  <si>
    <t>FabFitFun</t>
  </si>
  <si>
    <t>+1 (855) 313-6267</t>
  </si>
  <si>
    <t>daniel@fabfitfun.com</t>
  </si>
  <si>
    <t>360 North La Cienega Boulevard</t>
  </si>
  <si>
    <t>90048</t>
  </si>
  <si>
    <t>Mr. Daniel Broukhim is a Co-Founder and serves as Co-Chief Executive Officer at FabFitFun. Prior to starting FabFitFun, he co-founded Charlie, a media agency that did client services work for political and entertainment clients, as well as having spent time working in the hedge fund and textile industry. Daniel graduated from Berkeley in 2010 with a degree in Political Science, where he founded a chapter of the Sigma Phi Epsilon fraternity and created and taught a class on Larry David's Curb Your Enthusiasm, and from the UCLA School of Law with a JD in 2013. In addition to his current work at FabFitFun, Daniel is an active angel investor, avid backgammon player and sports enthusiast. He holds JD in Law from University of California, Los Angeles (UCLA) and BA in Political Science from University of California, Berkeley.</t>
  </si>
  <si>
    <t>25986-97P</t>
  </si>
  <si>
    <t>Elliot Evers JD</t>
  </si>
  <si>
    <t>Evers</t>
  </si>
  <si>
    <t>Elliot</t>
  </si>
  <si>
    <t>Co-Founder &amp; Managing Director</t>
  </si>
  <si>
    <t>MVP Capital</t>
  </si>
  <si>
    <t>+1 (415) 391-4877</t>
  </si>
  <si>
    <t>eevers@mvpcapital.com</t>
  </si>
  <si>
    <t>255 California Street</t>
  </si>
  <si>
    <t>Suite 850</t>
  </si>
  <si>
    <t>+1 (415) 549-0515</t>
  </si>
  <si>
    <t>Mr. Elliot Evers serves as Senior Advisor at Houlihan Lokey. He Co-Founded and serves as Managing Director at MVP Capital. He currently oversees the firm's Media Group. Under his leadership, MVP has built significant, long-lasting relationships within the media industry-some lasting more than 20 years-and managed deal volume in excess of $3.5 billion. One of his key transactions was working with Jim and John Levitt (Coast Broadcasting), who owned KEZR/KBAY in San Jose for many years. MVP sold those stations for them and then represented them as they rolled the proceeds from that sale into three stations that encircle the Bay Area. He and MVP then assisted them with a recapitalization of the company and, in 2015, sold those three stations for them. He received a B.A. in Journalism from the University of California at Berkeley, a J.D. from Hastings College of the Law, University of California; and a Diplome Semestriel from The University of Paris.</t>
  </si>
  <si>
    <t>40864-51P</t>
  </si>
  <si>
    <t>Emmet Keeffe III</t>
  </si>
  <si>
    <t>Keeffe</t>
  </si>
  <si>
    <t>Emmet</t>
  </si>
  <si>
    <t>Operating Partner</t>
  </si>
  <si>
    <t>Insight Partners</t>
  </si>
  <si>
    <t>+1 (212) 230-9200</t>
  </si>
  <si>
    <t>ekeeffe@insightpartners.com</t>
  </si>
  <si>
    <t>1114 Avenue of the Americas</t>
  </si>
  <si>
    <t>36th Floor</t>
  </si>
  <si>
    <t>10036</t>
  </si>
  <si>
    <t>Mr. Emmet Keeffe serves as Operating Partner at Insight Partners. He is a Board Member of Tricentis and Resolve Systems. He is based in London and is leading the build out of Insight's Innovation Network for technology organizations and IT leaders. The network provides thought-leadership to members and establishes Growth Advisory Boards for portfolio companies. Prior to Insight, Mr. Keeffe fostered a global network of IT contacts as co-founder and CEO of iRise. He is a Resident Expert at the Saïd Business School at the University of Oxford and serves on the Advisory Boards of DocuSign, UST Global and The Digital Board. Mr. Keeffe earned a B.A. in political economics from the University of California at Berkeley.</t>
  </si>
  <si>
    <t>38250-10P</t>
  </si>
  <si>
    <t>Eric Mathewson</t>
  </si>
  <si>
    <t>Mathewson</t>
  </si>
  <si>
    <t>Eric</t>
  </si>
  <si>
    <t>Founder, Chief Executive Officer &amp; Board Member</t>
  </si>
  <si>
    <t>WideOrbit</t>
  </si>
  <si>
    <t>+1 (415) 675-6700</t>
  </si>
  <si>
    <t>emathewson@wideorbit.com</t>
  </si>
  <si>
    <t>1160 Battery Street</t>
  </si>
  <si>
    <t>Suite 300</t>
  </si>
  <si>
    <t>+1 (415) 675-6701</t>
  </si>
  <si>
    <t>Mr. Eric Mathewson is the Founder and serves as Chief Executive Officer &amp; Board Member at WideOrbit. He also serves as Managing Director of Prescient Capital. Since its founding in 1999, WideOrbit has grown to be the media management platform of choice for over 70% of US television stations. Prior to WideOrbit, Eric was a portfolio manager at Montgomery Securities and managed equity derivatives at Kidder Peabody.</t>
  </si>
  <si>
    <t>104044-24P</t>
  </si>
  <si>
    <t>Frances Arnold Ph.D</t>
  </si>
  <si>
    <t>Arnold</t>
  </si>
  <si>
    <t>Frances</t>
  </si>
  <si>
    <t>Provivi</t>
  </si>
  <si>
    <t>+1 (310) 828-2307</t>
  </si>
  <si>
    <t>1701 Colorado Avenue</t>
  </si>
  <si>
    <t>90404</t>
  </si>
  <si>
    <t>Dr. Frances Arnold is a Co-Founder of Provivi and also serves as its Board Member. A professor of chemical engineering at Caltech, Frances is a pioneer of "directed evolution", a method of biological design that is a cornerstone of many industrial and biotechnological innovations. Her contributions to science and engineering have been recognized by numerous awards and honors, including the Draper Prize in 2011, the 2011 National Medal of Technology, and election to the three U.S. National Academies. Frances co-founded Gevo and has served as a scientific advisor to notable biotech companies, including Maxygen, Codexis, Amyris, Mascoma and Fluidigm. Frances currently advises Genomatica. She also serves as Board Member &amp; Member of Nominating and Corporate Governance Committee at Alphabet.</t>
  </si>
  <si>
    <t>86661-19P</t>
  </si>
  <si>
    <t>Grant Ferrier</t>
  </si>
  <si>
    <t>Ferrier</t>
  </si>
  <si>
    <t>Grant</t>
  </si>
  <si>
    <t>Founder, Editor in Chief, President &amp; Chief Executive Officer</t>
  </si>
  <si>
    <t>Environmental Business International</t>
  </si>
  <si>
    <t>+1 (619) 295-7685</t>
  </si>
  <si>
    <t>gferrier@ebionline.org</t>
  </si>
  <si>
    <t>4452 Park Boulevard</t>
  </si>
  <si>
    <t>Suite 306</t>
  </si>
  <si>
    <t>92116</t>
  </si>
  <si>
    <t>+1 (619) 295-5743</t>
  </si>
  <si>
    <t>Mr. Grant Ferrier is the Founder of Environmental Business International. He serves as Editor in Chief, President and Chief Executive Officer at Environmental Business International. He also serves as a Board Member at Natural Products Canada. He is the Founder and serves as Chief Executive Officer at Nutrition Capital Network. He also served as Advisor at Environmental Capital Partners. He is the Founder and serves as Chief Executive Officer at Nutrition Business Journal In 1996, Mr. Ferrier and his firm established a classification system for the traditional environmental industry widely used by government and private entities, including the EPA, the Department of Commerce and the Census Bureau. EBI hosts an annual Environmental Business Seminar in San Diego attended by environmental firms of all sizes and from all sectors of the industry. Prior to founding EBI, Mr. Ferrier worked in academia and the private sector in energy efficiency, solar energy and wind energy. Mr. Ferrier also maintains significant connections throughout the more general "Green" and "Healthy Planet" communities. Mr. Ferrier has degrees in Mechanical Engineering and Conservation &amp; Resource Studies from the University of California, Berkeley.</t>
  </si>
  <si>
    <t>35396-11P</t>
  </si>
  <si>
    <t>Jessica Mah</t>
  </si>
  <si>
    <t>Mah</t>
  </si>
  <si>
    <t>Jessica</t>
  </si>
  <si>
    <t>inDinero</t>
  </si>
  <si>
    <t>+1 (855) 463-4637</t>
  </si>
  <si>
    <t>jmah@indinero.com</t>
  </si>
  <si>
    <t>919 SouthWest Taylor Street</t>
  </si>
  <si>
    <t>97205</t>
  </si>
  <si>
    <t>Ms. Jessica Mah is a Co-Founder and serves as the Chief Executive Officer at inDinero. She also serves as Investment Partner at XFactor Ventures. Her passion for helping other entrepreneurs led her to launch inDinero in 2010. As CEO, she sets the vision and shares the inDinero story across the globe. She has been featured in Forbes and Inc. Magazines 30 Under 30 Lists. She graduated in 2010 from U.C. Berkeley with a Bachelor of Computer Science.</t>
  </si>
  <si>
    <t>108372-16P</t>
  </si>
  <si>
    <t>Kirill Gichunts</t>
  </si>
  <si>
    <t>Gichunts</t>
  </si>
  <si>
    <t>Kirill</t>
  </si>
  <si>
    <t>Co-Founder and Chief Executive Officer</t>
  </si>
  <si>
    <t>FuelGems</t>
  </si>
  <si>
    <t>+1 (415) 251-0250</t>
  </si>
  <si>
    <t>kirill@fuelgems.com</t>
  </si>
  <si>
    <t>301 Congress Avenue</t>
  </si>
  <si>
    <t>78701</t>
  </si>
  <si>
    <t>Mr. Kirill Gichunts is a Co-Founder and serves as Chief Executive Officer at FuelGems. He is also a Co-Founder of H2 Energy Renaissance and serves as its Chief Executive Officer. He is a Co-Founder at Solar Hydrogen Trends and also serves as its Managing Partner. He helped structure the business and drives strategic financial and commercial aspects of the company. Kirill was a managing partner at a venture capital accelerator fund. He founded, funded and helped grow a number of companies. Prior, as an investment banking executive, Kirill completed M&amp;A and ECM transactions. Kirill received a bachelor's degree in business and political economics from University of California, Berkeley.</t>
  </si>
  <si>
    <t>41420-53P</t>
  </si>
  <si>
    <t>Laurie Racine Ph.D</t>
  </si>
  <si>
    <t>Racine</t>
  </si>
  <si>
    <t>Laurie</t>
  </si>
  <si>
    <t>Thunkable</t>
  </si>
  <si>
    <t>+1 (415) 917-4005</t>
  </si>
  <si>
    <t>lracine@dotsub.com</t>
  </si>
  <si>
    <t>Post Office Box 22162</t>
  </si>
  <si>
    <t>94122</t>
  </si>
  <si>
    <t>Dr. Laurie Racine is a Co-Founder of Thunkable. She is a Co-Founder and serves as Board Member at Dotsub. She serves as Board Member at Creative Commons. She was a Co-Founder and served as Managing Director at Startl. She was also a principal and Senior Vice President of Strategy and Business Development for Eyespot. Prior to Eyespot, Laurie was President of a private venture and foundation. She has been a Senior Fellow at the Norman Lear Center of the Annenberg School of Communications, University of Southern California and was the President of Doc Arts. She also serves as a director on the boards of the Tribeca Film Institute, Open Road Media, Creative Commons and the University of California Humanities Research Council. Laurie sits on the Advisory Boards of Road Trip Nation and Fractor. She holds a BA from New York University and did coursework for a PhD in Human Genetics at University of California, Berkeley. She also serves as a Board Member at Open Road Integrated Media. She also serves as Board Member at Creative Commons.</t>
  </si>
  <si>
    <t>42448-69P</t>
  </si>
  <si>
    <t>Nanxi Liu</t>
  </si>
  <si>
    <t>Liu</t>
  </si>
  <si>
    <t>Nanxi</t>
  </si>
  <si>
    <t>Enplug</t>
  </si>
  <si>
    <t>+1 (855) 536-7584</t>
  </si>
  <si>
    <t>nanxi@enplug.com</t>
  </si>
  <si>
    <t>Culver City, CA</t>
  </si>
  <si>
    <t>6029 Bristol Parkway</t>
  </si>
  <si>
    <t>Culver City</t>
  </si>
  <si>
    <t>90230</t>
  </si>
  <si>
    <t>Ms. Nanxi Liu is a Co-Founder and serves as the Chief Executive Officer at Enplug. She also serves as Investment Partner at XFactor Ventures. She is also a Co-Founder and serves as the Chief Financial Officer and Board Member at Nanoly Bioscience. She also serves on the Board of Advisors at Covington Capital Management. She serves as Board Member at Los Angeles Venture Association and served as Advisor at Infobitt. She received a Bachelor of Science and Bachelors of Arts in Business and Political Economy at UC Berkeley where she received UC Berkeley's Leadership Award and the Haas School of Business's Undergraduate Leadership Award.</t>
  </si>
  <si>
    <t>38300-86P</t>
  </si>
  <si>
    <t>Paul Russo Ph.D</t>
  </si>
  <si>
    <t>Russo</t>
  </si>
  <si>
    <t>GEO Semiconductor</t>
  </si>
  <si>
    <t>+1 (408) 638-0400</t>
  </si>
  <si>
    <t>paul@geosemi.com</t>
  </si>
  <si>
    <t>101 Metro Drive</t>
  </si>
  <si>
    <t>Suite 620</t>
  </si>
  <si>
    <t>95110</t>
  </si>
  <si>
    <t>+1 (408) 638-0443</t>
  </si>
  <si>
    <t>Dr. Paul Russo is the Founder of GEO Semiconductor and serves as its Board Member and also serves as Chief Executive Officer at Kyto Technology And Life Science. He served as Board Member at DigiLens. Previously he served as Co-Chairman and CEO since founding GEO Semiconductor in 2009. He also serves as Director of WOO (Sports), FONOLO (www.fonolo.com) and SBG Labs (www.sbglabs.com), and an Advisor to SiOnyx - the "Black Silicon" Company (www.sionyx.com). Prior to founding GEO Semi, Dr. Russo Founded Silicon Optix in 2000, a privately held fabless semiconductor company, serving as Chairman &amp; CEO through 2008. GEO acquired certain assets from Silicon Optix in 2009. Prior to Silicon Optix, Dr. Russo was the founder, Chairman and CEO of Genesis Microchip (acquired by ST Micro in 2007) through 2000, including its successful NASDAQ IPO in 1998, and on its board until 2001. Prior to founding Genesis, he was General Manager of GE's Microelectronics Center, Senior Manager in GE's Industrial Electronics Group and Head, Microsystems Research at RCA's David Sarnoff Research Center. Dr. Russo received his B. Eng. from McGill University and his MSc and PhD in EECS from UC Berkeley. He holds six U.S. patents, is a Fellow of the IEEE and has received numerous RCA and industry awards, including the IEEE Centennial Medal and the 2006 Tech Pioneer Award from the World Economic Forum. He served as an outside director of ATI Technologies from 2001 through its acquisition by AMD in late 2006, as well as numerous private venture funded start-ups acquired by public entities (e.g., RocketChips - acquired by Xilinx, Atmos - acquired by MoSys). Dr. Russo is a member of the Global Semiconductor Association (GSA) Emerging Company CEO Council and participates in its EDA sub-committee.</t>
  </si>
  <si>
    <t>129390-22P</t>
  </si>
  <si>
    <t>Peter Fishman Ph.D</t>
  </si>
  <si>
    <t>Fishman</t>
  </si>
  <si>
    <t>Mozart Data</t>
  </si>
  <si>
    <t>+1 (765) 247-2823</t>
  </si>
  <si>
    <t>250 King Street</t>
  </si>
  <si>
    <t>Suite 514</t>
  </si>
  <si>
    <t>Dr. Peter Fishman is a Co-Founder &amp; serves as Chief Executive Officer at Mozart Data. He served as the Vice President of Growth &amp; Analytics at Zenefits. Previously, he was Director of Analytics at Yammer and Principal Data Science Manager of Microsoft Office Analytics. Prior to joining Yammer, he worked at Playdom/Disney and as a statistician for the Philadelphia Eagles. He holds a B.S. from Duke University and a Ph.D. in economics from UC Berkeley.</t>
  </si>
  <si>
    <t>47587-60P</t>
  </si>
  <si>
    <t>Peter Kim</t>
  </si>
  <si>
    <t>Kim</t>
  </si>
  <si>
    <t>MightyHive</t>
  </si>
  <si>
    <t>+1 (888) 727-9742</t>
  </si>
  <si>
    <t>petekim@mightyhive.com</t>
  </si>
  <si>
    <t>394 Pacific Avenue</t>
  </si>
  <si>
    <t>5th Floor</t>
  </si>
  <si>
    <t>Mr. Peter Kim is a Co-Founder and serves as the Chief Executive Officer at MightyHive. A highly influential figure in advertising technology, Pete has a decade of industry leadership experience, including his tenure at two of the world's most renowned ad tech companies, Google and Yahoo!. As CEO and Co-Founder of MightyHive, the Programmatic Solutions Partner, Pete Kim continues to work with some of the world's largest advertisers across every industry vertical to improve digital marketing strategies and help them harness the power of programmatic. Previously, Pete was Head of Business Development for Google's Media Platforms, including DoubleClick for Advertisers (DFA), DoubleClick Rich Media (DRM), Teracent, DoubleClick Ad Exchange (AdX), and Invite Media. Prior to that role, he served as Director, Product Manager and GM of Dynamic Advertising at Yahoo! where he pioneered the use of dynamic creative for marketers. Pete earned his undergraduate degree in Biomechanical Engineering at the UC Berkeley and his MBA from the Wharton School of the University of Pennsylvania. He also serves on the boards of S4 Capital and the Center for Investigative Reporting.</t>
  </si>
  <si>
    <t>91073-35P</t>
  </si>
  <si>
    <t>Philip Inghelbrecht</t>
  </si>
  <si>
    <t>Inghelbrecht</t>
  </si>
  <si>
    <t>Philip</t>
  </si>
  <si>
    <t>Paraclete Capital</t>
  </si>
  <si>
    <t>+1 (415) 855-0030</t>
  </si>
  <si>
    <t>philip@inghelbrecht.com</t>
  </si>
  <si>
    <t>101 Montgomery Street</t>
  </si>
  <si>
    <t>27th Floor</t>
  </si>
  <si>
    <t>Mr. Philip Inghelbrecht is a Co-Founder of Shazam (mobile music recognition app with 150+ million users). He is also a Co-Founder and serves as Chief Executive Officer at Tatari. He serves as an advisor of Paraclete Capital. He recently joined Yahoo through their acquisition of Rockmelt, where he was Head of Business Development. Prior to Yahoo, he was President of TrueCar (IPO) and Head of Sports and Entertainment Partnerships at YouTube (Google). He is also an advisor and personal investor in multiple startups and is a self-admitted kiteboarding addict.</t>
  </si>
  <si>
    <t>51842-89P</t>
  </si>
  <si>
    <t>Spencer Kimball</t>
  </si>
  <si>
    <t>Kimball</t>
  </si>
  <si>
    <t>Spencer</t>
  </si>
  <si>
    <t>Cockroach Labs</t>
  </si>
  <si>
    <t>spencer@cockroachlabs.com</t>
  </si>
  <si>
    <t>53 West 23rd Street</t>
  </si>
  <si>
    <t>8th Floor</t>
  </si>
  <si>
    <t>Mr. Spencer Kimball is a Co-Founder and serves as Chief Executive Officer at Cockroach Labs.</t>
  </si>
  <si>
    <t>50627-08P</t>
  </si>
  <si>
    <t>Thomas Reilly</t>
  </si>
  <si>
    <t>Reilly</t>
  </si>
  <si>
    <t>Thomas</t>
  </si>
  <si>
    <t>Chief Executive Officer &amp; Board Member</t>
  </si>
  <si>
    <t>Cloudera (Former)</t>
  </si>
  <si>
    <t>+1 (720) 515-5386</t>
  </si>
  <si>
    <t>tom.reilly@cloudera.com</t>
  </si>
  <si>
    <t>Denver, CO</t>
  </si>
  <si>
    <t>633 17th Street</t>
  </si>
  <si>
    <t>Suite 1800</t>
  </si>
  <si>
    <t>Denver</t>
  </si>
  <si>
    <t>Colorado</t>
  </si>
  <si>
    <t>80202</t>
  </si>
  <si>
    <t>Mr. Thomas Reilly serves as Chief Executive Officer and Board Member at Cloudera. He has a distinguished 30-year career in the enterprise software market. Prior to Cloudera, his most recent role was as Vice President and General Manager of Enterprise Security at HP. Prior to HP, he served as CEO and President of enterprise security company ArcSight , which HP acquired in 2010. He led ArcSight through a successful initial public offering and subsequent sale to HP. Before ArcSight, he was Vice President of Business Information Services for IBM, following the acquisition of Trigo Technologies Inc., a master data management (MDM) software company, where he had served as CEO. He currently serves as a Board Member for Jive Software, ThreatStream Inc. and Cloudera. He graduated from the University of California, Berkeley with a Bachelor of Science Degree in Mechanical Engineering. He is a Co-Founder and serves as Chairman at Ombud.</t>
  </si>
  <si>
    <t>87238-00P</t>
  </si>
  <si>
    <t>Zubin Irani</t>
  </si>
  <si>
    <t>Irani</t>
  </si>
  <si>
    <t>Zubin</t>
  </si>
  <si>
    <t>cPrime (California)</t>
  </si>
  <si>
    <t>+1 (650) 931-1650</t>
  </si>
  <si>
    <t>zubin.irani@cprime.com</t>
  </si>
  <si>
    <t>107 South B Street</t>
  </si>
  <si>
    <t>Mr. Zubin Irani is a Co-Founder and serves as Chief Executive Officer at cPrime (California). Zubin's background includes a Bachelor' Degree from USC, and his Masters' from Columbia &amp; UC Berkeley. He started his professional career at Deloitte implementing large complex IT Projects before becoming the youngest Director at DirecTV. After a successful tenure, he left to build cPrime and as CEO led the Company to 5 consecutive years of Top 50 fastest growing companies in the SF Bay Area.</t>
  </si>
  <si>
    <t>66894-13P</t>
  </si>
  <si>
    <t>Andrew Hoppin</t>
  </si>
  <si>
    <t>Hoppin</t>
  </si>
  <si>
    <t>CoverUS</t>
  </si>
  <si>
    <t>+1 (413) 418-9981</t>
  </si>
  <si>
    <t>andrew@coverus.health</t>
  </si>
  <si>
    <t>19 Morris Avenue</t>
  </si>
  <si>
    <t>Brooklyn Navy Yard Building 128, Brooklyn</t>
  </si>
  <si>
    <t>11205</t>
  </si>
  <si>
    <t>Mr. Andrew Hoppin is a Co-Founder and Board Member of CoverUS, where he serves as Chief Executive Officer. He co-founded and served as Chief Executive Officer at NuCivic. In particular, Nuams has led the development of the "OpenCivic" app catalog/hackathon platform, and the "DKAN" open data publishing platform, both based on the open-source Drupal content management framework, and serving clients ranging from the World Bank to New York State to the Open Government Partnership. He also serves as Board Member at Global Integrity. He holds an MS in Environmental Science from the University of California, Berkeley, a BS in Planetary Science from Brown University and a Graduation Degree from NASA Academy, the International Space University. Andrew was previously the first Chief Information Officer (CIO) for the New York Senate from 2009 to 2011, where his team opened up extensive government data and published all the code they developed as open source software, creating the world's first government Github repository. Andrew was selected by GovTech as the 2010 New York State Public Sector CIO of the Year, and by Information Week as one of the "Government CIO 50." Formerly, Andrew was President of the DKAN Data solutions team at GovDelivery Inc., which acquired his open source civic technology company, NuCivic, in 2014. The team builds, delivers, and supports DKAN, a leading open source solution for publishing, visualizing, and engaging constituents with government open data.</t>
  </si>
  <si>
    <t>156110-59P</t>
  </si>
  <si>
    <t>Charles Clinton JD</t>
  </si>
  <si>
    <t>Clinton</t>
  </si>
  <si>
    <t>Co- Founder, Chief Executive Officer &amp; Board Member</t>
  </si>
  <si>
    <t>EquityMultiple</t>
  </si>
  <si>
    <t>+1 (646) 844-9918</t>
  </si>
  <si>
    <t>charles@equitymultiple.com</t>
  </si>
  <si>
    <t>1140 Broadway</t>
  </si>
  <si>
    <t>11th Floor</t>
  </si>
  <si>
    <t>10001</t>
  </si>
  <si>
    <t>Dr. Charles Clinton is a Co-Founder and serves as the Chief Executive Officer and Board Member at EquityMultiple.</t>
  </si>
  <si>
    <t>43543-09P</t>
  </si>
  <si>
    <t>Chenming Hu Ph.D</t>
  </si>
  <si>
    <t>Hu</t>
  </si>
  <si>
    <t>Chenming</t>
  </si>
  <si>
    <t>ACM Research</t>
  </si>
  <si>
    <t>+1 (510) 445-3700</t>
  </si>
  <si>
    <t>Fremont, CA</t>
  </si>
  <si>
    <t>42307 Osgood Road</t>
  </si>
  <si>
    <t>Unit I</t>
  </si>
  <si>
    <t>Fremont</t>
  </si>
  <si>
    <t>94539</t>
  </si>
  <si>
    <t>+1 (510) 445-3708</t>
  </si>
  <si>
    <t>Chenming C. Hu has served as one of our directors since January 2017. Dr. Hu has also served as a member of the board of advisors since May 2016. Since 1976, Dr. Hu has been a professor in electrical engineering and computer sciences at the University of California, Berkeley, where he has been the Taiwan Semiconductor Manufacturing Company Distinguished Chair Professor Emeritus and Professor of the Graduate School since 2010. Dr. Hu also serves on the board of directors of Ambrella, Inc., developer of semiconductor processing solutions for video, and Inphi Corporation, a fabless semiconductor company. Dr. Hu is a member of the U.S. National Academy of Engineering and the Chinese Academy of Sciences, and Taiwan's Academia Sinica. Dr. Hu received his Master of Science degree and Ph.D. from the University of California, Berkeley and his Bachelor of Science degree from National Taiwan University, all in electrical engineering. We believe Dr. Hu is qualified to serve as a director due to his experience and expertise in semiconductors and related technologies (including FinFET, which he developed in 1999), his experience as the Chief Technology Officer of Taiwan Semiconductor Manufacturing Company Ltd. from 2001 to 2007, and his current and past directorships at other public companies.</t>
  </si>
  <si>
    <t>84605-50P</t>
  </si>
  <si>
    <t>Chuck Hansen</t>
  </si>
  <si>
    <t>Hansen</t>
  </si>
  <si>
    <t>Chuck</t>
  </si>
  <si>
    <t>Founder, Chief Executive Officer &amp; Chairman</t>
  </si>
  <si>
    <t>Electro Scan</t>
  </si>
  <si>
    <t>+1 (916) 779-0660</t>
  </si>
  <si>
    <t>chuck@electroscan.com</t>
  </si>
  <si>
    <t>Sacramento, CA</t>
  </si>
  <si>
    <t>1745 Markston Road</t>
  </si>
  <si>
    <t>Sacramento</t>
  </si>
  <si>
    <t>95825-4026</t>
  </si>
  <si>
    <t>Mr. Chuck Hansen serves as Founder, Chief Executive Officer &amp; Chairman at Electro Scan. In 1988, Chuck was responsible for designing &amp; developing the first of its kind field-to-office integrated solution to manage the inventory, data collection, and inspection of city-wide Water Audits and Sewer Survey Evaluation Study (SSES). For instance, Working with the City of Houston to inventory and rate the condition of its 5,000-mile sanitary sewer system while operating under an EPA consent decree, Chuck worked with the City of Houston's Henry Gregory to define industry inspection standards to be used by city personnel and outside contractors, including standards followed by over 120 television inspection crews. Other major inspections included Manhole Inspections, Smoke Testing, and Dye Flood Testing, all part of the largest public works inspection project of its kind. Spearheading the design, development, and deployment of industry-specific work management solutions for the water &amp; sewer, plant, highway, and transit market, Chuck Hansen was responsible for leading his offshore development team to create the first ever web service applications for Asset Valuation, Utility Billing, Property Tax, Business &amp; Consumer Licensing, Planning, and Permitting solutions. Chuck was also responsible for developing the first asset-based accounting system for local governments in Australia in accordance with AAS27. In addition, he developed the first Asset Valuation system in accordance with GASB 34 requirements which are used for Comprehensive Annual Financial Reports (CAFR). Chuck's former clients have included some of the largest cities in the United States, Canada, England, South Africa, Australia, and New Zealand, including strategic alliances in the Middle East, Hong Kong, Japan, and South Korea. In 2006, Chuck partnered with private equity firm Golden Gate Capital. As majority shareholder, he sold Hansen Information Technologies to Atlanta-based Infor Global in 2007. Since selling his company, Chuck has been involved in the start-up, management, and investment of several high-tech companies, including his decision to make an early stage investment in Facebook. An avid musician, Chuck played Baritone &amp; Bass Sax with various artists, including Eddy Money, Huey Lewis, Micky Dolans ("The Monkees"), Mickey Thomas (Starship), Prairie Prince ("The Tubes"), Todd Rundgren, and Tower of Power. Earning his General Aviation Pilot's license and Instrument Rating in less than a year, Chuck began investigating innovative technologies that would fundamentally change the way municipal utilities can identify critical sewer pipes, which led to Chuck's founding of Electro Scan Inc. Prior to co-founding Hansen Information Technologies with his father and brother, Chuck worked with several Silicon Valley venture capital firms as a senior executive for troubled high-tech companies. Chuck was also the youngest corporate Vice President and Corporate Officer for a $20 billion NYSE bank holding company. Chuck started his career in Finance as a Senior Accountant for Arthur Andersen &amp; Co. in their San Francisco and Oakland offices, where he worked on several SEC registration statements including a brief tenure as a merger &amp; acquisition consultant and Director of Strategic Planning at cement pipe maker, Ameron, Inc. Chuck received his MBA from the UCLA Anderson School of Management in 1982 and BS from the University of California, Berkeley in 1978. Chuck also rowed Cal Crew during their 1977 championship season and played in the U.C. Berkeley Jazz Band. Chuck was the recipient of the prestigious Robert Gordon Sproul &amp; Ida W. Sproul Award, U.C. Berkeley's highest student honor. For over ten (10) years, Chuck was a Visiting Lecturer with the University of Wisconsin, Madison, Graduate School of Engineering, where he taught courses on Upgrading Your Sanitary Sewer Maintenance Program.</t>
  </si>
  <si>
    <t>124579-81P</t>
  </si>
  <si>
    <t>Danica Reynaud Ph.D</t>
  </si>
  <si>
    <t>Reynaud</t>
  </si>
  <si>
    <t>Danica</t>
  </si>
  <si>
    <t>Global Director</t>
  </si>
  <si>
    <t>NSF International</t>
  </si>
  <si>
    <t>+1 (734) 769-8010</t>
  </si>
  <si>
    <t>dreynaud@nsf.org</t>
  </si>
  <si>
    <t>Ann Arbor, MI</t>
  </si>
  <si>
    <t>789 North Dixboro Road</t>
  </si>
  <si>
    <t>Ann Arbor</t>
  </si>
  <si>
    <t>Michigan</t>
  </si>
  <si>
    <t>48105</t>
  </si>
  <si>
    <t>+1 (734) 769-0109</t>
  </si>
  <si>
    <t>Dr. Danica Reynaud serves as Global Director of Scientific Innovation at NSF International. She is a Co-Founder and served as Chief Executive Officer at AuthenTechnologies. Dr. Reynaud was a Visiting Scholar in the Botany Department at the Smithsonian Institution's National Museum of Natural History and the Center for Conservation and Evolutionary Genetics in Washington, D.C., and then served as the Director of Botany at Bionovo, Inc., a botanical drug development company in Emeryville, CA. Dr. Reynaud holds a B.A. and Ph.D. in Integrative Biology from the University of California, Berkeley. She is a Research Associate at the University and Jepson Herbaria at the University of California, Berkeley, a member of the Scientific Advisor Board of the American Botanical Council, on the Analytical Laboratories Committee of the American Herbal Products Association, and member of the Botanical Society of America, the American Society of Plant Taxonomists, and sat on the AOAC International's Expert Review Panel on Botanical Identification Method Validation, as well as the founder and Executive Directorof the nonprofit International Sandalwood Foundation.</t>
  </si>
  <si>
    <t>35286-67P</t>
  </si>
  <si>
    <t>Daryoosh Vakhshoori Ph.D</t>
  </si>
  <si>
    <t>Vakhshoori</t>
  </si>
  <si>
    <t>Daryoosh</t>
  </si>
  <si>
    <t>Co-Founder, Chief Executive Officer &amp; President</t>
  </si>
  <si>
    <t>Pendar Technologies</t>
  </si>
  <si>
    <t>+1 (617) 588-2128</t>
  </si>
  <si>
    <t>dvakhshoori@pendar.com</t>
  </si>
  <si>
    <t>Cambridge, MA</t>
  </si>
  <si>
    <t>30 Spinelli Place</t>
  </si>
  <si>
    <t>Cambridge</t>
  </si>
  <si>
    <t>Massachusetts</t>
  </si>
  <si>
    <t>02138</t>
  </si>
  <si>
    <t>Dr. Daryoosh Vakhshoori is a Co-Founder and serves as Chief Executive Officer and President at Pendar Technologies. He is a Co-Founder of Mulberry Sensors. He brings over 21 years of experience in the optoelectronic industry, leading research, developing new products and building successful high-tech businesses. Daryoosh is a serial entrepreneur and made two successful exits. He co-founded CoreTek, Inc. (1996-2002), a high-tech company that developed novel tunable laser and optical filters for the telecommunication market and sold them to Nortel. Daryoosh also founded Ahura Scientific (2002-2010), with the aim of moving advanced spectroscopic techniques out of scientific laboratories into the hands of non-specialist field operators. In 2010, Thermo Fisher Scientific acquired the company. He received his BS from the University of California at Irvine and holds a Ph.D. in Quantum Electronics from the University of California at Berkeley.</t>
  </si>
  <si>
    <t>37248-40P</t>
  </si>
  <si>
    <t>David Soloff Ph.D</t>
  </si>
  <si>
    <t>Soloff</t>
  </si>
  <si>
    <t>Co-Founder &amp; Executive Chairman</t>
  </si>
  <si>
    <t>Premise</t>
  </si>
  <si>
    <t>+1 (650) 534-2644</t>
  </si>
  <si>
    <t>david@premise.com</t>
  </si>
  <si>
    <t>185 Berry Street</t>
  </si>
  <si>
    <t>Suite 6850</t>
  </si>
  <si>
    <t>Dr. David Soloff is a Co-Founder and serves as Executive Chairman at Premise. He is the Founder and serves as Chief Executive Officer at OTTRSK. He served as Venture Partner at Bowery Capital. He also served as Advisor at Colle Capital Partners. David has 15 years' financial markets and startup experience, running the gamut from quant modeling to product design, to corporate strategy. He advises established companies on digital, data and monetization strategies. Prior to Premise, Mr. Soloff was the Co-Founder and CEO of Metamarkets backed by Khosla Ventures. David holds a graduate degree from the University of California, Berkeley and an undergraduate degree in Linguistics from Columbia University.</t>
  </si>
  <si>
    <t>70538-95P</t>
  </si>
  <si>
    <t>Deepak Singh</t>
  </si>
  <si>
    <t>Singh</t>
  </si>
  <si>
    <t>Deepak</t>
  </si>
  <si>
    <t>Co-Founder, Chief Technology Officer &amp; President</t>
  </si>
  <si>
    <t>Adeptia</t>
  </si>
  <si>
    <t>+1 (312) 229-1727</t>
  </si>
  <si>
    <t>deepak.singh@adeptia.com</t>
  </si>
  <si>
    <t>Chicago, IL</t>
  </si>
  <si>
    <t>332 South Michigan Avenue</t>
  </si>
  <si>
    <t>Unit LL-A105</t>
  </si>
  <si>
    <t>Chicago</t>
  </si>
  <si>
    <t>Illinois</t>
  </si>
  <si>
    <t>60604</t>
  </si>
  <si>
    <t>Deepak Singh is the Co-Founder and serves as President &amp; Chief Technology Officer at Adeptia. He is the co-founder and President of Adeptia and is responsible for business strategy and product development. Prior to co-founding Adeptia, he was Director of Product Management at 3Com Corporation, where he was responsible for all aspects of product management and marketing for the Cable Modem Termination Systems (CMTS) business line. He worked with the initial team that started this new product line and then grew the business to $40M annual revenue and 60+ employees. He managed and coordinated all aspects of the product life cycle from requirements definition, development, beta test, customer release to product pricing, marketing, sales training and PR. In this role, he worked extensively with the leaders of the engineering and sales teams. He led 3Com's business development efforts with respect to this business line and successfully negotiated a number of partnerships and a strategic investment. He also worked at Netscape Communications as product manager for a Knowledgebase application. Earlier, he worked at Advanced Micro Devices, where he designed a Fast Ethernet controller chip and led the engineering team for that product from design through production. He has a B.S. degree in Electrical Engineering and Computer Science from the University of California at Berkeley, an M.S. in Engineering Economic Systems from Stanford University and an M.M./MBA from the J.L. Kellogg Graduate School of Management at Northwestern University.</t>
  </si>
  <si>
    <t>32680-45P</t>
  </si>
  <si>
    <t>Denis Burger Ph.D</t>
  </si>
  <si>
    <t>Burger</t>
  </si>
  <si>
    <t>Denis</t>
  </si>
  <si>
    <t>Scientific Consultant</t>
  </si>
  <si>
    <t>Cytodyn</t>
  </si>
  <si>
    <t>+1 (360) 980-8524</t>
  </si>
  <si>
    <t>dburger@cytodyn.com</t>
  </si>
  <si>
    <t>Vancouver, WA</t>
  </si>
  <si>
    <t>1111 Main Street</t>
  </si>
  <si>
    <t>Suite 660</t>
  </si>
  <si>
    <t>Vancouver</t>
  </si>
  <si>
    <t>98660</t>
  </si>
  <si>
    <t>+1 (360) 980-8549</t>
  </si>
  <si>
    <t>Dr. Denis Burger serves as Scientific Consultant at Cytodyn. He previously served as Vice Chairman and Chief Science Officer at Cytodyn. He serves as Board Member at 13Therapeutics. He serves as a Vice Chairman at Cytodyn. He was was appointed a Director in February 2014 and named Vice Chairman in August 2014. He is a life sciences executive with over 25 years of extensive scientific, operational and financial experience in the biotech industry. As CEO or chairman of several biotechnology companies, Dr. Burger has led numerous corporate financing transactions and public securities offerings and has experience leading R&amp;D, GMP manufacturing and clinical development functional areas. Dr. Burger is currently a Director of Lorus Therapeutics, Inc., a cancer therapeutics, TSX-listed company. Dr. Burger co-founded Trinity Biotech, a NASDAQ-listed diagnostic company, in June 1992, served as its Chairman from June 1992 to May 1995, and is currently lead independent director. Until March 2007, he was Chairman and Chief Executive Officer of AVI Biopharma Inc. (now Sarepta Therapeutics), a NASDAQ listed RNA therapeutics company. He was also a co-founder of Epitope Inc. (now Orasure Technologies, NASDAQ listed), serving as its Chairman from 1981 to 1990. Dr. Burger previously held a professorship in the Department of Microbiology and Immunology and Surgery (Surgical Oncology) at the Oregon Health and Sciences University in Portland. Dr. Burger received his undergraduate degree in Bacteriology and Immunology from the University of California in Berkeley and his Master of Science and Ph.D. degrees in Microbiology and Immunology from the University of Arizona.</t>
  </si>
  <si>
    <t>56059-12P</t>
  </si>
  <si>
    <t>Gagan Biyani</t>
  </si>
  <si>
    <t>Biyani</t>
  </si>
  <si>
    <t>Gagan</t>
  </si>
  <si>
    <t>Co-Founder, President, Board Member &amp; Chief Executive Officer</t>
  </si>
  <si>
    <t>Didactic (Educational Software)</t>
  </si>
  <si>
    <t>+1 (213) 538-2302</t>
  </si>
  <si>
    <t>10900 Research Boulevard Suite 160C</t>
  </si>
  <si>
    <t>PMB 3086</t>
  </si>
  <si>
    <t>78759</t>
  </si>
  <si>
    <t>Mr. Gagan Biyani is a Co-Founder and serves as President, Board Member &amp; Chief Executive Officer at Didactic. He was a Co-Founder and served as the Chief Executive Officer, President and Board Member at Sprig. Previously he co-founded Growth Hackers Conference and Udemy.</t>
  </si>
  <si>
    <t>41980-60P</t>
  </si>
  <si>
    <t>Jay Parrish Ph.D</t>
  </si>
  <si>
    <t>Parrish</t>
  </si>
  <si>
    <t>Jay</t>
  </si>
  <si>
    <t>Co-Founder &amp; Chief Business Officer</t>
  </si>
  <si>
    <t>Vir (Biotechnology)</t>
  </si>
  <si>
    <t>+1 (650) 574-3000</t>
  </si>
  <si>
    <t>jparrish@vir.bio</t>
  </si>
  <si>
    <t>499 Illinois Street</t>
  </si>
  <si>
    <t>Dr. Jay Parrish is a Co-Founder and serves as the Chief Business Officer at Vir (Biotechnology). He serves as Board Member at ROME Therapeutics. He also serves as Venture Partner at ARCH Venture Partners. He is an accomplished scientist who began his career at Gilead Sciences, Inc. in the Medicinal Chemistry group where his research focused on the discovery of small molecule anti-virals for the treatment of HIV, hepatitis C, and respiratory syncytial viruses. In this role, he was involved with several successful discovery campaigns, including being a co-inventor of ledipasvir (HarvoniÂ®), approved as a cure for hepatitis C genotypes 1, 4-6. In 2015 HarvoniÂ® had nearly $14 billion in sales worldwide, making it one of the most successful commercial drugs in history. After nearly a decade in research, Dr. Parrish joined Gilead's Corporate Development team, where he was involved in building Gilead's oncology and infectious disease portfolio, ultimately leading infectious disease business development for the company. In the Corporate Development role, Dr. Parrish gained significant experience with search and evaluation, negotiations and transactions including in-licensing, out-licensing and M&amp;A deals. Dr. Parrish holds a B.S. in Chemistry from Emory University and a Ph.D. in Synthetic Organic Chemistry from the University of South Florida. He completed a Postdoctoral Fellowship at the Scripps Research Institute and received a M.B.A. from U.C. Berkeley's Haas School of Business. Dr. Parrish has authored over 25 peer-reviewed scientific publications and holds over 20 issued patents and applications. Dr. Parrish continues to serve as a part-time instructor at U.C. Berkeley Extensions where he teaches chemistry to undergraduates and post-baccalaureates.</t>
  </si>
  <si>
    <t>41095-99P</t>
  </si>
  <si>
    <t>Jerry Jao</t>
  </si>
  <si>
    <t>Jao</t>
  </si>
  <si>
    <t>Jerry</t>
  </si>
  <si>
    <t>Resci</t>
  </si>
  <si>
    <t>+1 (310) 421-2598</t>
  </si>
  <si>
    <t>jerry@retentionscience.com</t>
  </si>
  <si>
    <t>2601 Ocean Park Boulevard</t>
  </si>
  <si>
    <t>Suite 104</t>
  </si>
  <si>
    <t>90405</t>
  </si>
  <si>
    <t>Mr. Jao is a Co-Founder &amp; serves as Chief Executive Officer at ReSci. He is an Advisor of KohFounders.</t>
  </si>
  <si>
    <t>49884-58P</t>
  </si>
  <si>
    <t>John Kim</t>
  </si>
  <si>
    <t>Chief Executive Officer</t>
  </si>
  <si>
    <t>Jetbridge</t>
  </si>
  <si>
    <t>john.kim@jetbridge.com</t>
  </si>
  <si>
    <t>1188 Dolores Street</t>
  </si>
  <si>
    <t>94110</t>
  </si>
  <si>
    <t>Mr. John Kim serves as the Chief Executive Officer at Jetbridge. He serves as Technology Evangelist at Kareo. He is the Founder of Five9. As it's founding CEO and later it's principal marketer, he grew the company from idea inception to a $10M annual revenue stream with the help of some very talented engineers and a friend's $30,000 loan. In 2010, he created DoctorBase.com to solve a critical healthcare problem patients can't email or phone consult their doctors because these interactions lose revenues and are potentially dangerous for healthcare providers. In between, he co-founded a network software company (also funded by the venture capital firm Hummer Winblad) and was an advisor to multiple VC-backed companies like LGC Wireless (acquired by ADC), Qualys, RingCentral, Odesk and Halloo. He serves as Chief Executive Officer &amp; Director at DoctorBase. He is also a Co-Founder of the company.</t>
  </si>
  <si>
    <t>122329-00P</t>
  </si>
  <si>
    <t>John Newton</t>
  </si>
  <si>
    <t>Newton</t>
  </si>
  <si>
    <t>Founder &amp; Chief Technology Officer</t>
  </si>
  <si>
    <t>Alfresco Software</t>
  </si>
  <si>
    <t>+44 (0)16 2887 6600</t>
  </si>
  <si>
    <t>jnewton@alfresco.com</t>
  </si>
  <si>
    <t>Maidenhead, United Kingdom</t>
  </si>
  <si>
    <t>Bridge Avenue, The Place</t>
  </si>
  <si>
    <t>Maidenhead</t>
  </si>
  <si>
    <t>England</t>
  </si>
  <si>
    <t>SL6 1AF</t>
  </si>
  <si>
    <t>United Kingdom</t>
  </si>
  <si>
    <t>Mr. John Newton serves as Founder &amp; Chief Technology Officer at Alfresco Software. He has had one of the longest and most influential careers in content management. In 1990, John co-founded, designed and led the development of Documentum®, the leader in content management acquired by EMC®. For the next ten years, he invented many of the concepts widely used in the industry today. In addition, he built Documentum's marketing and professional services organizations in Europe. John has also been an Entrepreneur-in-Residence at Benchmark Capital. John was one of the founding engineers at Ingres® where he helped develop the world's first commercial relational database. John graduated with a BS in Electrical Engineering and Computer Science from the University of California at Berkeley. He is an Angel Investor.</t>
  </si>
  <si>
    <t>29598-94P</t>
  </si>
  <si>
    <t>Jon Vein JD</t>
  </si>
  <si>
    <t>Vein</t>
  </si>
  <si>
    <t>Jon</t>
  </si>
  <si>
    <t>MarketShare</t>
  </si>
  <si>
    <t>+1 (310) 914-5677</t>
  </si>
  <si>
    <t>jvein@marketshare.com</t>
  </si>
  <si>
    <t>11150 Santa Monica Boulevard</t>
  </si>
  <si>
    <t>+1 (310) 914-5155</t>
  </si>
  <si>
    <t>Mr. Vein is a Co-Founder and serves as Co-Chief Executive Officer and Board Member at MarketShare Partners. He co-founded MarketShare Partners in 2005 and served as its Managing Partner. He brings years of strategic marketing, operations and media industry expertise to the organization. Prior to MarketShare Partners, Mr. Vein served as Chief Operating Officer of Michael Ovitz's AMG (Artists Management Group) and APG (Artists Production Group), overseeing all divisions, including talent, literary, animation, sports, music, publishing, and feature film production. Before joining AMG, Mr. Vein was Chief Operating Officer of Film Roman, the premier animation production company in the United States, where he oversaw all production, development, sales, human resources, finance, and business affairs. Before returning to law school and then joining the media world, Mr. Vein was a practicing engineer on the space program at Hughes Electronics and at Teledyne Relays. Mr. Vein graduated from the University of California at Berkeley with a double B.S. in Material Sciences &amp; Engineering and Electrical Engineering-Computer Science with high honors and received his J.D. cum laude from Harvard Law School. He also serves on the Board of Hampton Creek.</t>
  </si>
  <si>
    <t>165106-54P</t>
  </si>
  <si>
    <t>Katerina Barilov</t>
  </si>
  <si>
    <t>Barilov</t>
  </si>
  <si>
    <t>Katerina</t>
  </si>
  <si>
    <t>Founder and Principal</t>
  </si>
  <si>
    <t>SparkPlug Capital</t>
  </si>
  <si>
    <t>+1 (408) 429-0087</t>
  </si>
  <si>
    <t>kat@sparkplug.capital</t>
  </si>
  <si>
    <t>Ms. Katerina Barilov is the Founder of SparkPlug Capital and serves as its Principal. She is also a Co-Founder and serves as Head of Business Development at Jump Aero. She serves as Board Member and Advisor at Hermeus. She also serves as Managing Director at Shearwater Aero. Prior to Shearwater, Ms. Barilov was an investment banker at Goldman Sachs' Industrials Group in New York, focused on assisting top tier aviation, aerospace and defense clients. In this role, Ms. Barilov conducted analyses, created materials, and facilitated execution in all phases of the deal process. Ms. Barilov has been involved in numerous successful M&amp;A, IPO, and Spin-off processes. Prior to Goldman Sachs, she ran the Structured Finance division for Europe Middle East and Africa at Hawker Beechcraft, a leading aerospace manufacturer based out of Wichita, Kansas. During an unprecedented downturn in general aviation, her team at Hawker Beechcraft designed and launched a Structured Finance Department which developed and maintained relationships with third-party financiers, structured financing support, and conducted credit analysis of potential clients. In her role, Ms. Barilov sourced transactions, developed and maintained a network of 200+ financiers, and structured and arranged complex transactions, liaising between lawyers, insurers, bankers and clients, overseeing due diligence, documentation, and credit processes. She holds an MBA and Bachelors's degrees from the University of California, Berkeley. She is an avid pilot with a passion for aerobatic competition with experience in a Pitts S2C.</t>
  </si>
  <si>
    <t>41515-48P</t>
  </si>
  <si>
    <t>Kevan Shokat Ph.D</t>
  </si>
  <si>
    <t>Shokat</t>
  </si>
  <si>
    <t>Kevan</t>
  </si>
  <si>
    <t>Co-Founder &amp; Chairman of Scientific Advisory Board</t>
  </si>
  <si>
    <t>Mitokinin</t>
  </si>
  <si>
    <t>+1 (347) 668-8061</t>
  </si>
  <si>
    <t>ks@mitokinin.com</t>
  </si>
  <si>
    <t>45 Broadway</t>
  </si>
  <si>
    <t>Suite 1440</t>
  </si>
  <si>
    <t>Dr. Kevan Shokat is a Co-Founder and serves as Chairman of Scientific Advisory Board at Mitokinin. Dr. Shokat is a Co-Founder &amp; serves as Scientific Advisory Board Member at Revolution Medicines. He is a Co-Founder and serves as a Member of Scientific Advisory Board at eFFECTOR Therapeutics. He is also a Co-Founder and Member of Scientific Advisory Board at eFFECTOR.He is leading investigator in chemical biology, is a Professor in the Department of Cellular and Molecular Pharmacology at the University of California, San Francisco, and Professor of Chemistry at the University of California, Berkeley. Dr. Shokat's research focuses on the development of chemically-based tools to decipher signal transduction pathways on a genome-wide scale. Dr. Shokat and his colleagues have developed a method for producing small molecules specific for any target of interest in a signaling cascade by combining protein design and chemical synthesis. Dr. Shokat is the scientific co-founder of Cellular Genomics and of IntelliKine. Dr. Shokat is a Pew, Cottrell, Searle, and Glaxo-Wellcome Scholar as well as an Alfred P. Sloan Fellow, and has received the Eli Lilly Award in Biological Chemistry from the American Chemical Society. He received a Ph.D. in 1991 from the University of California, Berkeley completed postdoctoral work at Stanford in 1994 and went on to serve as Assistant Professor of Chemistry and Molecular Biology at Princeton University. Dr. Shokat received his B.S. in chemistry from Reed College. He serves as Advisor at Black Diamond Therapeutics.</t>
  </si>
  <si>
    <t>61250-59P</t>
  </si>
  <si>
    <t>Lila Tretikov</t>
  </si>
  <si>
    <t>Tretikov</t>
  </si>
  <si>
    <t>Lila</t>
  </si>
  <si>
    <t>Toda (Financial Software)</t>
  </si>
  <si>
    <t>995 Market Street</t>
  </si>
  <si>
    <t>Ms. Lila Tretikov is a Co-Founder of Toda.Network. Ms. Tretikov is a Co-Founder of Todacorp and also serves as its Board Member. She served as Board Member at Rackspace US. Tretikov serves as Executive Director at Wikimedia Foundation. She serves as Board Member at Onfido. She served as the Chief Product Officer at SugarCRM. Lila Tretikov leads SugarCRM's growth and market innovation initiatives, including stewardship of the SugarCRM brand and its award-winning product. As Chief Product Officer, she also leads the marketing, product and R&amp;D functions. As a key member of SugarCRM's senior leadership team, Lila leads the creation of the marketing and product initiatives, creative expressions, advertising, and key product and research innovations. She leads internal teams and channel partners across the Americas, Europe and Asia. Prior to coming to Sugar, Lila led innovation enterprise software sector at Sun Microsystems, Sprint/Nextell, VeriSign and Bank of America. As an entrepreneur she has also established and grown successful startups in the digital marketing space. Lila has an academic background in computer science, mathematics and visual arts. She studied at the University of California Berkeley and Lomonosov Moscow State University. In 2012 Lila received a Stevie® Award For Women in Business.</t>
  </si>
  <si>
    <t>49944-79P</t>
  </si>
  <si>
    <t>Marianne Voigt</t>
  </si>
  <si>
    <t>Voigt</t>
  </si>
  <si>
    <t>Marianne</t>
  </si>
  <si>
    <t>Co-Founder, Co-Chief Executive Officer and Chief Financial Officer</t>
  </si>
  <si>
    <t>Bettermarks</t>
  </si>
  <si>
    <t>+49 (0)30 3002 4400 0</t>
  </si>
  <si>
    <t>marianne.voigt@bettermarks.de</t>
  </si>
  <si>
    <t>Berlin, Germany</t>
  </si>
  <si>
    <t>Skalitzer Straße 85-86</t>
  </si>
  <si>
    <t>Berlin</t>
  </si>
  <si>
    <t>10997</t>
  </si>
  <si>
    <t>Germany</t>
  </si>
  <si>
    <t>+49 (0)30 3002 4401 0</t>
  </si>
  <si>
    <t>Ms. Marianne Voigt is a Co-Founder of Bettermarks and serves as its Co-Chief Executive Officer and Chief Financial Officer. she also serves as Board Member at Alstria office REIT.</t>
  </si>
  <si>
    <t>122913-73P</t>
  </si>
  <si>
    <t>Mark Barrett</t>
  </si>
  <si>
    <t>Barrett</t>
  </si>
  <si>
    <t>Lassen Therapeutics</t>
  </si>
  <si>
    <t>+1 (650) 325-5156</t>
  </si>
  <si>
    <t>mbarrett@lassentherapeutics.com</t>
  </si>
  <si>
    <t>9215 Brown Deer Road</t>
  </si>
  <si>
    <t>Suite C</t>
  </si>
  <si>
    <t>92121</t>
  </si>
  <si>
    <t>Mr. Mark Barrett is a Co-Founder and serves as Chief Executive Officer and President at Lassen Therapeutics. Mr. Mark Barrett serves as Entrepreneur-in-Residence- Life Sciences at Frazier Healthcare Partners. He served as Vice President &amp; Global Head of Strategy &amp; Business Development at Sanofi Genzyme. Mark is an executive leader with more than twenty years of experience in the research, development, partnering, and commercialization of innovative treatments and has held senior management positions in global biotech and pharma companies. Mark is an Entrepreneur-in-residence with Frazier Healthcare Partners where he founded Lassen. Previously, he served as Global Head of Strategy &amp; Business Development at Sanofi Genzyme and was a member of the company's executive leadership team responsible for managing Sanofi Genzyme's €5 billion global business including franchises in rare diseases, immunology, multiple sclerosis, and oncology. Mark was a member of Johnson &amp; Johnson's global business development group responsible for a range of strategic partnering and acquisition activities. Mark has been responsible for licensing and M&amp;A deals with an aggregate value of over $3 billion, including $125+ million in venture financings, and the creation of eight biotech startups. His business development activities have resulted in successful collaborative worldwide commercialization of blockbuster products, global co-development programs including 250,000+ patients, enabling R&amp;D from innovative early-stage research to late-stage product development and commercialization. Mark holds an M.B.A. from the University of California, Berkeley and a B.S. in Biology from Duke University</t>
  </si>
  <si>
    <t>39693-61P</t>
  </si>
  <si>
    <t>Milton Chen Ph.D</t>
  </si>
  <si>
    <t>Milton</t>
  </si>
  <si>
    <t>VSee</t>
  </si>
  <si>
    <t>+1 (650) 400-1798</t>
  </si>
  <si>
    <t>milton@vsee.com</t>
  </si>
  <si>
    <t>3188 Kimlee Drive</t>
  </si>
  <si>
    <t>95132</t>
  </si>
  <si>
    <t>+1 (650) 649-1904</t>
  </si>
  <si>
    <t>Dr. Milton Chen is a Co-Founder and serves as Chief Executive Officer &amp; Board Member at VSee. He also is a Co-Founder and served as Chief Technology Officer at Fruit Street Health. He also served as Chief Technology Officer at MEDVector. He is an Advisor and Board Member of OrthoLive, where he serves as Partner.Dr. Chen served as the Chief Information Officer at MDLIVE. He co-founded Fruit Street Health and also served as Chief Technology Officer. He did his PhD at Stanford University on the human factors and design of video collaboration. He was also the co-author of XMPP video standard (XMPP is used by Google Talk and Facebook Chat). He has deployed VSee for Hillary Clinton, Angelina Jolie, Mandy Moore, the band Linkin Park and UN Secretary-General Ban Ki-Moon. He has also worked in refugee camps from Syria to South East Asia to Africa. He serves as co-founder and Chief Technology Officer for Fruit Street. He holds a BS degree from the University of California, Berkeley.</t>
  </si>
  <si>
    <t>13142-89P</t>
  </si>
  <si>
    <t>Mohan Lakhamraju</t>
  </si>
  <si>
    <t>Lakhamraju</t>
  </si>
  <si>
    <t>Mohan</t>
  </si>
  <si>
    <t>Great Learning</t>
  </si>
  <si>
    <t>+91 (0)80 4718 9251</t>
  </si>
  <si>
    <t>mohan@greatlearning.in</t>
  </si>
  <si>
    <t>Gurgaon, India</t>
  </si>
  <si>
    <t>2nd Floor, Orchid Centre</t>
  </si>
  <si>
    <t>Sector 53, Golf Course Road</t>
  </si>
  <si>
    <t>Gurgaon</t>
  </si>
  <si>
    <t>Haryana</t>
  </si>
  <si>
    <t>122002</t>
  </si>
  <si>
    <t>Mr. Mohan Lakhamraju is a Co-Founder and serves as Chief Executive Officer at Great Learning. He serves as Chief Executive Officer &amp; Vice Chairman at Great Lakes Institute of Management. He also is an Angel Investor. He is a Board member at SmartOwner. Prior to this, Mr. Lakhamraju was the country head in India for Tiger Global, one of the world's largest venture funds. He was a Managing Director at Tiger Global Management, a New York-based investment firm. He heads the firm's office in Mumbai, India. Prior to joining Tiger Global, Mr. Lakhamraju was an Associate at Draper Fisher Jurvetson (DFJ), a Venture Capital firm based in Silicon Valley, California, where he focused on India related investments. Earlier in his career, he was a founding member of Stratify, a technology-enabled services company based in Mountain View, California. He received a B.Tech in Computer Science from the Indian Institute of Technology (IIT), Bombay, an MS in Computer Science from the University of California, Berkeley and an MBA from Stanford University's Graduate School of Business.</t>
  </si>
  <si>
    <t>104050-90P</t>
  </si>
  <si>
    <t>Nate Snyder</t>
  </si>
  <si>
    <t>Snyder</t>
  </si>
  <si>
    <t>Nate</t>
  </si>
  <si>
    <t>Co-Founder, Board Member &amp; Chief Executive Officer</t>
  </si>
  <si>
    <t>Ovation Fertility</t>
  </si>
  <si>
    <t>+1 (818) 858-1080</t>
  </si>
  <si>
    <t>nsnyder@ovationfertility.com</t>
  </si>
  <si>
    <t>15821 Ventura Boulevard</t>
  </si>
  <si>
    <t>Suite 550</t>
  </si>
  <si>
    <t>91436</t>
  </si>
  <si>
    <t>Mr. Nate Snyder is a Co-Founder and serves as Board Member &amp; Chief Executive Officer at Ovagen Fertility. Driving change in the advanced reproductive technologies (ART) healthcare sector and enlisting reproductive medicine's top talent is a dream-come-true for Nate Snyder, Ovation Fertility's CEO. Bringing nearly 20 years of tech and healthcare experience to Ovation Fertility, Mr. Snyder is well positioned to lead the charge. As CEO, Mr. Snyder partners with the world's most respected fertility physicians and scientists to build a nationwide network of cutting edge in-vitro fertilization (IVF) and genetic testing laboratories. Prior to co-founding Ovation Fertility, Mr. Snyder partnered with physicians from multiple specialities to build, own and operate outpatient surgery centers across Southern California. As a member of small team of professionals, Mr. Snyder led the recruitment effort, created the business case and secured funding to develop a multi-specialty outpatient surgery center in Santa Barbara, CA. Mr. Snyder is also a co-founder of Redyns Medical, a medical device design and development company. Along with his father, Dr. Stephen Snyder and a 3rd partner, Mr. Snyder designed, developed and licensed medical products that have been sold in 60 countries. Mr. Snyder is the lead inventor on three medical device patents including United States Patent 8,388,654: Method and Apparatus for Attaching Soft Tissue to Bone which was licensed to the world's largest orthopedic company. Through Redyns Medical, Mr. Snyder assisted physicians on product development, including intellectual property protection, regulatory requirements and monetization strategies; and in return secured meaningful ownership interests in several technologies, with over $25 million of invested capital. Mr. Snyder was an early employee and served key roles at online giant Connexity (formerly Shopzilla.com). As a member of the research group, he designed custom analytic surveys and launched syndicated market research reports. As a co-founder of the online marketing group, Mr. Snyder helped develop the company's direct email-marketing program that grew into company's third largest revenue stream and most profitable division. Mr. Snyder earned a Bachelor of Science degree in Marketing from the Haas School of Business, University of California, Berkeley. and a Master of Business Administration (MBA) degree in the Health Care Management Program and Entrepreneurial Management Program at The Wharton School of the University of Pennsylvania. He actively supports the next generation of entrepreneurs through volunteer work at Harvard-Westlake high school in Los Angeles. He is a co-founder of the school's Business and Entrepreneurship Alumni Network and volunteers time teaching entrepreneurship to high school seniors.</t>
  </si>
  <si>
    <t>65969-02P</t>
  </si>
  <si>
    <t>Ritik Malhotra</t>
  </si>
  <si>
    <t>Malhotra</t>
  </si>
  <si>
    <t>Ritik</t>
  </si>
  <si>
    <t>S2 Capital</t>
  </si>
  <si>
    <t>+1 (650) 648-3347</t>
  </si>
  <si>
    <t>ritik@s2capital.vc</t>
  </si>
  <si>
    <t>Mr. Ritik Malhotra is a Co-Founder and serves as Chief Executive Officer at Elph. He serves as Founding Partner at S2 Capital. He serves as venture partner at Pioneer Fund (San Francisco). He also serves as Venture Partner at Ironfire Ventures. He was most recently the co-founder and CEO of Streem, which was acquired by Box in June 2014. Streem was a venture-backed, Y Combinator summer 2012 startup that developed a cloud-based file system and fast video streaming technology. Prior to Streem, Ritik started and ran various other profitable businesses including a learning center for middle and high school students, a web hosting service, flash-based gaming websites, and more. He has been programming since the age of eight and is always hacking on a side project or two behind the scenes. Before going down the entrepreneurial track, Ritik worked as an engineer at Twitter, Intel, Agilent, and a few early-stage startups. Ritik pursued a B.S. in Electrical Engineering and Computer Science from the University of California, Berkeley.</t>
  </si>
  <si>
    <t>41963-23P</t>
  </si>
  <si>
    <t>Ron Lissak</t>
  </si>
  <si>
    <t>Lissak</t>
  </si>
  <si>
    <t>Ron</t>
  </si>
  <si>
    <t>Founder &amp; Managing Partner</t>
  </si>
  <si>
    <t>Catapult Advisors</t>
  </si>
  <si>
    <t>+1 (415) 593 4520</t>
  </si>
  <si>
    <t>rlissak@catapultadvisors.com</t>
  </si>
  <si>
    <t>33 New Montgomery Street</t>
  </si>
  <si>
    <t>Mr. Ron Lissak is the Founder and serves as Managing Partner at Catapult Advisors. Ron has been a frequent speaker on the topics of software M&amp;A and venture capital, and is often quoted in the press on these topics. Prior to founding Catapult, Ron focused on raising public and private equity for venture-backed growth companies. Most recently, he served as Managing Director and Head of the Private Equity Group at Banc of America Securities (formerly Montgomery Securities). In that position, Ron was responsible for all private equity capital raising activity for Bank of America globally. Previously, Ron was Co-Head of Montgomery Securities' international division where, for nine years, he and his team assisted public and private venture-backed companies in accessing capital from international institutions. Ron began his business career with Salomon Brothers in New York and London, where he was responsible for raising capital from institutional investors throughout Europe. Ron holds a BA in Philosophy from the University of California, Berkeley and an MA in International Economics and International Relations from The Johns Hopkins University, School of Advanced International Studies (SAIS).</t>
  </si>
  <si>
    <t>92536-21P</t>
  </si>
  <si>
    <t>Roy Ng</t>
  </si>
  <si>
    <t>Roy</t>
  </si>
  <si>
    <t>Angel Investor</t>
  </si>
  <si>
    <t>+1 (202) 250-3633</t>
  </si>
  <si>
    <t>Mr. Roy Ng is an Angel Investor. He is Co-Founder and serves as Chief Executive Officer at Bond. He served as Chief Operating Officer and President at Mapbox. He served as Board Member at Actian. As President and Chief Operating Officer of Mapbox, Roy is responsible for all customer-facing operations, including sales, marketing, customer success, business development, as well as finance, human resources, and business operations. Roy joins Mapbox from Twilio, where he was COO leading commercial operations. Prior to Twilio, he was COO of SAP's Cloud Business Unit. Roy joined SAP through SAP's $3.4 billion acquisition of SuccessFactors, where he was Vice President of Global Business Operations. Before SuccessFactors, he was Vice President and Head of West Coast Software Investment Banking at Goldman Sachs. He holds dual bachelor's degrees in Business Administration and Political Science from the University of California, Berkeley.</t>
  </si>
  <si>
    <t>15731-20P</t>
  </si>
  <si>
    <t>Scott Tierney</t>
  </si>
  <si>
    <t>Tierney</t>
  </si>
  <si>
    <t>Scott</t>
  </si>
  <si>
    <t>Valo Ventures</t>
  </si>
  <si>
    <t>+1 (650) 847-1841</t>
  </si>
  <si>
    <t>scott@valoventures.org</t>
  </si>
  <si>
    <t>524 Ramona Street</t>
  </si>
  <si>
    <t>Mr. Scott Tierney is the Founder and serves as Partner at Valo Ventures. Mr. Tierney served as Board Member at PacStar Communications. Mr. Tierney also Co-Founded and served as General Partner at CapitalG. Prior to joining Google, Scott was a general partner with Steelpoint Capital Partners in San Diego. He became an investor after leading two successful growth stage companies: Scott was president and COO of Archimedes Technology Group, a nuclear technology company headquartered in San Diego (sold to General Atomics); and a founding executive and head of the Investment Banking Division for Epoch Partners, an online investment bank headquartered in San Francisco (sold to Goldman Sachs). Prior to launching Epoch Partners, Scott was a vice president at Morgan Stanley.</t>
  </si>
  <si>
    <t>96686-83P</t>
  </si>
  <si>
    <t>Sean De La Pena</t>
  </si>
  <si>
    <t>De La Pena</t>
  </si>
  <si>
    <t>Sean</t>
  </si>
  <si>
    <t>M-Form</t>
  </si>
  <si>
    <t>+1 (714) 689-9422</t>
  </si>
  <si>
    <t>sean@m-form.com</t>
  </si>
  <si>
    <t>San DIego, CA</t>
  </si>
  <si>
    <t>San DIego</t>
  </si>
  <si>
    <t>Mr. Sean De La Pena is a Co-Founder of M-Form. He serves as an Associate, Investment Banking at Culver Pacific Capital Partners. Experienced financial professional with a demonstrated history of working with investment funds, portfolio companies, and management teams to drive growth. Has been an advisor to companies across industries and at various stages of development such as startup, growth phase, mature growth and pre-IPO. Skilled in Financial Analysis, Portfolio Management, Microsoft Excel, Corporate Finance, Venture Capital. Well versed across the capital structure including preferred equity, common equity, debt, convertible and derivatives. Holds a BS in Economics from the University of California, Berkeley. Has completed all 3 levels of the Chartered Financial Analyst (CFA) Program.</t>
  </si>
  <si>
    <t>48351-88P</t>
  </si>
  <si>
    <t>Soso Sazesh</t>
  </si>
  <si>
    <t>Sazesh</t>
  </si>
  <si>
    <t>Soso</t>
  </si>
  <si>
    <t>Growth Pilots</t>
  </si>
  <si>
    <t>soso@growthpilots.com</t>
  </si>
  <si>
    <t>231 Sansome Street</t>
  </si>
  <si>
    <t>Mr. Soso Sazesh is the Founder and serves as Chief Executive Officer at Growth Pilots. He also served as the Co-Founder at LocalsLikeUs.</t>
  </si>
  <si>
    <t>49552-75P</t>
  </si>
  <si>
    <t>Stephen Worland Ph.D</t>
  </si>
  <si>
    <t>Worland</t>
  </si>
  <si>
    <t>Chief Executive Officer, President, Board Member &amp; Co-Founder</t>
  </si>
  <si>
    <t>eFFECTOR Therapeutics</t>
  </si>
  <si>
    <t>+1 (858) 925-8216</t>
  </si>
  <si>
    <t>sworland@effector.com</t>
  </si>
  <si>
    <t>11180 Roselle Street</t>
  </si>
  <si>
    <t>Dr. Stephen Worland is a Co-Founder and Board Member of eFFECTOR Therapeutics, where he serves as Chief Executive Officer and President. He serves as Board Member at Blacksmith Medicines. He is also a Board member of GenMark Diagnostics (NASDAQ:GNMK). He was CEO of Anadys until its acquisition by Roche in late 2011. Through the acquisition Roche gained access to setrobuvir, a Phase 2b product candidate for hepatitis C and ANA773, a Phase 1b candidate for cancer, both of which were invented at Anadys. Prior to being named CEO, he was Chief Scientific Officer and President, Pharmaceuticals. Previously, he was Vice President and Head of Antiviral Research at Pfizer and Vice President responsible for worldwide anti-infectives strategy at WarnerLambert.</t>
  </si>
  <si>
    <t>100479-43P</t>
  </si>
  <si>
    <t>Timothy McCreery</t>
  </si>
  <si>
    <t>McCreery</t>
  </si>
  <si>
    <t>Timothy</t>
  </si>
  <si>
    <t>Savvius</t>
  </si>
  <si>
    <t>+1 (925) 937-3200</t>
  </si>
  <si>
    <t>tim.davidmccreery@savvius.com</t>
  </si>
  <si>
    <t>Walnut Creek, CA</t>
  </si>
  <si>
    <t>1340 Treat Boulevard</t>
  </si>
  <si>
    <t>Walnut Creek</t>
  </si>
  <si>
    <t>94597</t>
  </si>
  <si>
    <t>+1 (925) 937-3211</t>
  </si>
  <si>
    <t>Mr. Timothy McCreery is a Co-Founder &amp; serves as Executive Chairman at Savvius. He serves as an Advisor at Safehub. He has served in a variety of executive roles within the company and overseen its transition to WildPackets in 2000 and then Savvius in 2015. Tim's 30 years of experience in the networking industry includes founder and president of Kinetics, a leading Macintosh networking company; founder and CEO of SilkStream, makers of network monitoring software; and VP of Marketing and Business Development at Excelan, a network equipment manufacturer. Tim has served on the boards of Clear Ink and Tut Systems and is currently on the board of Youth Homes, a non-profit agency serving at-risk foster care children in Contra Costa County, California. Tim graduated from the University of California, Berkeley with bachelor's degrees in Computer Science, Mathematics, and Psychology, and a Master's degree in EECS.</t>
  </si>
  <si>
    <t>22443-67P</t>
  </si>
  <si>
    <t>William Linton</t>
  </si>
  <si>
    <t>Linton</t>
  </si>
  <si>
    <t>William</t>
  </si>
  <si>
    <t>Founder, Chairman &amp; Chief Executive Officer</t>
  </si>
  <si>
    <t>Promega</t>
  </si>
  <si>
    <t>+1 (608) 274-4330</t>
  </si>
  <si>
    <t>william.linton@promega.com</t>
  </si>
  <si>
    <t>Madison, WI</t>
  </si>
  <si>
    <t>2800 Woods Hollow Road</t>
  </si>
  <si>
    <t>Madison</t>
  </si>
  <si>
    <t>Wisconsin</t>
  </si>
  <si>
    <t>53711</t>
  </si>
  <si>
    <t>+1 (608) 277-2516</t>
  </si>
  <si>
    <t>Mr. William Linton is the Founder and serves as Chief Executive Officer and Chairman at Promega. He is a Board Member of Bruker. He has been Chief Executive Officer and Chairman of Promega Corporation, a DNA consumables company, in Madison Wisconsin and has held these positions since 1978. Mr. Linton has been a Director of Bruker BioSciences Corp. (formerly, Bruker Daltonics Inc.) since February 2000 and Lead Director since March 2004. He serves as a Director of Promega Corporation. Mr. Linton has been a Director of the Wisconsin Technology Council Since 2001 and Alssa (Analytical &amp; Life Science Systems Association), An Industry Association, Since 2004. He received a B.S. degree from the University of California, Berkeley in 1970.</t>
  </si>
  <si>
    <t>96412-42P</t>
  </si>
  <si>
    <t>Xiaodong Song Ph.D</t>
  </si>
  <si>
    <t>Song</t>
  </si>
  <si>
    <t>Xiaodong</t>
  </si>
  <si>
    <t>Oasis Labs</t>
  </si>
  <si>
    <t>dawnsong@oasislabs.com</t>
  </si>
  <si>
    <t>Berkeley, CA</t>
  </si>
  <si>
    <t>2000 Allston Way</t>
  </si>
  <si>
    <t>P.O. Box 1166</t>
  </si>
  <si>
    <t>Berkeley</t>
  </si>
  <si>
    <t>94701</t>
  </si>
  <si>
    <t>Dr. Xiaodong Song is a Co-Founder and serves as Chief Executive Officer at Oasis Labs. She was an Advisor at Race Capital. She is an Advisor of Intuition Machines. She is the Founder of Ensighta Security. Prior to joining UC Berkeley she was an Assistant Professor at Carnegie Mellon University from 2002 to 2007. Her research interest lies in security and privacy issues in computer systems and networks, including areas ranging from software security, networking security, database security, distributed systems security, to applied cryptography. She is the recipient of various awards including the MacArthur Fellowship, the Guggenheim Fellowship, the NSF CAREER Award, the Alfred P. Sloan Research Fellowship, the MIT Technology Review TR-35 Award, the IBM Faculty Award, the George Tallman Ladd Research Award, the Okawa Foundation Research Award, the Li Ka Shing Foundation Women in Science Distinguished Lecture Series Award, and Best Paper Awards from top conferences.</t>
  </si>
  <si>
    <t>96398-20P</t>
  </si>
  <si>
    <t>Arjun Singh Ph.D</t>
  </si>
  <si>
    <t>Arjun</t>
  </si>
  <si>
    <t>Co-Founder, Chief Executive Officer, Chief Privacy and Data Protection Officer and Board Member</t>
  </si>
  <si>
    <t>Gradescope</t>
  </si>
  <si>
    <t>arjun@gradescope.com</t>
  </si>
  <si>
    <t>2054 University Avenue 600</t>
  </si>
  <si>
    <t>94704</t>
  </si>
  <si>
    <t>Dr. Arjun Singh is a Co-Founder and serves as Chief Executive Officer, Chief Privacy and Data Protection Officer and Board Member of Gradescope. He has done his studies from University of California, Berkeley.</t>
  </si>
  <si>
    <t>41347-36P</t>
  </si>
  <si>
    <t>Bradford Cross</t>
  </si>
  <si>
    <t>Cross</t>
  </si>
  <si>
    <t>Bradford</t>
  </si>
  <si>
    <t>HealthMode</t>
  </si>
  <si>
    <t>bradford@healthmode.com</t>
  </si>
  <si>
    <t>Suite 57488</t>
  </si>
  <si>
    <t>Mr. Bradford Cross is a Co-Founder and serves as Chairman at HealthMode. Mr. Bradford is the Founder and serves as Chief Executive Officer at Tower Street. He is also the founder of Merlon.ai. Mr. Cross was a Co-Founding Partner at Data Collective. He Co-Founded and served as Chief Executive Officer at Prismatic. Previously, he served as an Engineer at ThoughtWorks. Prior to this he Founded FlightCaster. He started his career as a Researcher at O'Higgins Asset Management. He studied Computer Engineering and Finance at Virginia Tech, and Mathematics at Berkeley.</t>
  </si>
  <si>
    <t>172267-93P</t>
  </si>
  <si>
    <t>Carmel Majidi Ph.D</t>
  </si>
  <si>
    <t>Majidi</t>
  </si>
  <si>
    <t>Carmel</t>
  </si>
  <si>
    <t>Co-Founder, Chief Technology Officer &amp; Board Member</t>
  </si>
  <si>
    <t>Arieca</t>
  </si>
  <si>
    <t>+1 (919) 741-7549</t>
  </si>
  <si>
    <t>cmajidi@arieca.com</t>
  </si>
  <si>
    <t>Pittsburgh, PA</t>
  </si>
  <si>
    <t>6024 Broad Street</t>
  </si>
  <si>
    <t>Floor 2R, Suite J</t>
  </si>
  <si>
    <t>Pittsburgh</t>
  </si>
  <si>
    <t>Dr. Carmel Majidi is a Co-Founder and serves as Chief Technology Officer &amp; Board Member at Arieca. He is a Co-Founder and serves as Chief Technology Officer at ESTAT Actuation Dr. Majidi serves as Associate Professor of Mechanical Engineering at Carnegie Mellon University. He started as an Assistant Professor in 2011. Prior to joining the faculty, he was a postdoctoral fellow in the Harvard Microrobotics Laboratory (2009-2011) and the Princeton Institute for the Science and Technology of Materials (2007-2009). His experience in solid mechanics and microfabrication is the foundation of his current research in the emerging fields of soft robotics and active multifunctional materials. The next generation of autonomous robots, assistive medical devices, and electronics will include systems that are soft, elastically deformable and adapt their functionality to the changing demands of their operator and environment.</t>
  </si>
  <si>
    <t>112629-25P</t>
  </si>
  <si>
    <t>Charlie Silver</t>
  </si>
  <si>
    <t>Silver</t>
  </si>
  <si>
    <t>Charlie</t>
  </si>
  <si>
    <t>Mission Bio</t>
  </si>
  <si>
    <t>+1 (415) 854-0058</t>
  </si>
  <si>
    <t>silver@missionbio.com</t>
  </si>
  <si>
    <t>6000 Shoreline Court</t>
  </si>
  <si>
    <t>Mr. Charlie Silver is a Co-Founder and serves as Chief Executive Officer and Board Member at Mission Bio. Prior to Mission Bio, Charlie spent 15 years commercializing next-generation hardware technology and scientific instrumentation at companies including Agilent, Novelx, Glimmerglass Networks, and Princeton Optronics. Charlie was engineering director, product manager, and first employee at Novelx, a Scanning Electron Microscope start-up that was acquired by Agilent in 2009. He holds a B.A. in physics from Columbia University, an M.S. in physics from the University of Wisconsin at Madison, and a dual MBA from Berkeley/Haas and Columbia.</t>
  </si>
  <si>
    <t>80553-52P</t>
  </si>
  <si>
    <t>Daniel Spitzer</t>
  </si>
  <si>
    <t>Spitzer</t>
  </si>
  <si>
    <t>Co-Founder, Chairman &amp; Chief Executive Officer</t>
  </si>
  <si>
    <t>Mountain Hazelnut Venture</t>
  </si>
  <si>
    <t>+975 4 744168</t>
  </si>
  <si>
    <t>dkspitzer@mountainhazelnuts.com</t>
  </si>
  <si>
    <t>Lingmethang, Bhutan</t>
  </si>
  <si>
    <t>RNR-RDC Lingmethang</t>
  </si>
  <si>
    <t>Mongar Post Office Box 127</t>
  </si>
  <si>
    <t>Lingmethang</t>
  </si>
  <si>
    <t>Mongar</t>
  </si>
  <si>
    <t>Bhutan</t>
  </si>
  <si>
    <t>Mr. Daniel Spitzer is a Co-Founder of Mountain Hazelnut Venture and also serves as its Chairman and Chief Executive Officer. Daniel has founded and led several companies in Asia that have successfully combined financial objectives with social and environmental goals, including Plantation Timber Products Group (PTP), which he built into China's largest sustainable forestry company. PTP established $200 million of new facilities to process logs grown by 700,000 farmer partners in deforested Himalayan foothills and vulnerable river regions in the interior of China.</t>
  </si>
  <si>
    <t>89775-55P</t>
  </si>
  <si>
    <t>Dave Ditzel</t>
  </si>
  <si>
    <t>Ditzel</t>
  </si>
  <si>
    <t>Dave</t>
  </si>
  <si>
    <t>ThruChip</t>
  </si>
  <si>
    <t>dditzel@thruchip.com</t>
  </si>
  <si>
    <t>Los Altos, CA</t>
  </si>
  <si>
    <t>4010 Page Mill Road</t>
  </si>
  <si>
    <t>Los Altos</t>
  </si>
  <si>
    <t>94022</t>
  </si>
  <si>
    <t>Mr. Dave Ditzel is a Co-Founder and serves as Chief Executive Officer at ThruChip. He is the Founder and serves as Chairman at Esperanto Technologies. He founded and served as Chief Executive Officer at Transmeta. He serves as Board Member at Numascale. Prior to becoming CEO of Thruchip, he spent five years as a vice president and chief architect for hybrid computing at Intel Corporation. He was responsible for leading a world-class architecture team to design a next-generation processor architecture using binary translation. He was a co-founder of Transmeta Corporation and served as its CEO from March 1995 to its successful IPO. He spent ten years at Sun Microsystems in various positions including CTO of the SPARC Technology Business, Director of Advanced Systems, and acting director of Sun Labs. Prior to Sun, he worked for ten years at ATT Bell Labs in Murray Hill, New Jersey, where he was the architect for the CRISP Microprocessor, one of the first RISC processors, and he was a co-author of "The Case for the Reduced Instruction Set Computer." He has worked on the development of over two dozen computer systems, has published three dozen papers on advanced computer design, and has received 11 patents.</t>
  </si>
  <si>
    <t>69430-78P</t>
  </si>
  <si>
    <t>David Grannan</t>
  </si>
  <si>
    <t>Grannan</t>
  </si>
  <si>
    <t>Light (Electronic Equipment and Instruments)</t>
  </si>
  <si>
    <t>dave@light.co</t>
  </si>
  <si>
    <t>Redwood City, CA</t>
  </si>
  <si>
    <t>725 Shasta Street</t>
  </si>
  <si>
    <t>Redwood City</t>
  </si>
  <si>
    <t>94063</t>
  </si>
  <si>
    <t>Mr. David Grannan is a Co-Founder and serves as Chief Executive Officer at Light. He has built and led a number of new businesses that developed pioneering technologies and products in the consumer and mobile industries. Prior to Light, Dave was CEO of Vlingo, the first natural language speech recognition service for mobile phones. Vlingo provided speech recognition for the first Siri app and built Samsung's S-Voice product-Samsung's answer to Apple's Siri. Nuance Communications acquired Vlingo in 2012. Dave joined Vlingo from Nokia, where he was a General Manager and responsible for leading Nokia's entry into various mobile app markets. Early in his career Dave was part of the strategic consulting practice at Accenture focusing on the wireless market, and from there he joined Sprint PCS as a General Manager to help launch what became the fastest growing US wireless carrier. Later, Dave served as President &amp; CEO of Geoworks, an early pioneer in the smartphone and wireless software space. Dave started his career in the US Marine Corps where he led a unit in Operations Desert Shield and Desert Storm. He holds an MBA from the University of California, Berkeley.</t>
  </si>
  <si>
    <t>40321-99P</t>
  </si>
  <si>
    <t>David Gross</t>
  </si>
  <si>
    <t>Gross</t>
  </si>
  <si>
    <t>MatchCo</t>
  </si>
  <si>
    <t>+1 (310) 492-7888</t>
  </si>
  <si>
    <t>dave@getmatch.co</t>
  </si>
  <si>
    <t>1421 Fifth Street</t>
  </si>
  <si>
    <t>+1 (310) 935-1558</t>
  </si>
  <si>
    <t>Mr. David Gross is a Co-Founder and serves as Chief Executive Officer at MatchCo. He is the Founder of Confego. He holds a MBA degree from Dartmouth College (Tuck).</t>
  </si>
  <si>
    <t>43842-70P</t>
  </si>
  <si>
    <t>David Litwak</t>
  </si>
  <si>
    <t>Litwak</t>
  </si>
  <si>
    <t>Mozio</t>
  </si>
  <si>
    <t>+1 (855) 980-7669</t>
  </si>
  <si>
    <t>david@mozio.com</t>
  </si>
  <si>
    <t>Beaverton, OR</t>
  </si>
  <si>
    <t>9450 Southwest Gemini Drive</t>
  </si>
  <si>
    <t>Beaverton</t>
  </si>
  <si>
    <t>97008</t>
  </si>
  <si>
    <t>Mr. David Litwak is a Co-Founder and serves as the Chief Executive Officer &amp; Board Member at Mozio. He holds a degree in Electrical Engineering and Computer Sciences from UC Berkeley. He has worked for Criteo, Northrop Grumman and Skype in the past and has founded FIRST and RoboCup robotics teams. He has a BS degree in Electrical Engineering from University of California, Berkeley in 2010.</t>
  </si>
  <si>
    <t>142329-07P</t>
  </si>
  <si>
    <t>Edward Moncada</t>
  </si>
  <si>
    <t>Moncada</t>
  </si>
  <si>
    <t>Edward</t>
  </si>
  <si>
    <t>Blockfolio</t>
  </si>
  <si>
    <t>+1 (310) 741-9912</t>
  </si>
  <si>
    <t>edward@blockfolio.com</t>
  </si>
  <si>
    <t>Marina del Rey, CA</t>
  </si>
  <si>
    <t>4325 Glencoe Avenue</t>
  </si>
  <si>
    <t>P.O. Box 11565</t>
  </si>
  <si>
    <t>Marina del Rey</t>
  </si>
  <si>
    <t>90295</t>
  </si>
  <si>
    <t>Mr. Edward Moncada is a Co-Founder and serves as Chief Executive Officer &amp; Board Member at Blockfolio.</t>
  </si>
  <si>
    <t>39999-25P</t>
  </si>
  <si>
    <t>Eric Berridge</t>
  </si>
  <si>
    <t>Berridge</t>
  </si>
  <si>
    <t>Chief Executive Officer, Principal &amp; Co-Founder</t>
  </si>
  <si>
    <t>Bluewolf Group</t>
  </si>
  <si>
    <t>+1 (646) 336-6400</t>
  </si>
  <si>
    <t>eric.berridge@bluewolf.com</t>
  </si>
  <si>
    <t>11 East 26th Street</t>
  </si>
  <si>
    <t>21st Floor</t>
  </si>
  <si>
    <t>+1 (646) 336-6438</t>
  </si>
  <si>
    <t>Mr. Berridge serves as a Chief Executive Officer &amp; Principal and is a Co-Founder at Bluewolf Group. He is also a part of International Business Machines's Global Business Services group. Mr. Berridge held various sales and management positions at The Oracle Corporation and The Interworld Corporation. He currently enables more than 3,000 organizations adopt and derive ongoing value from transformative technologies and has been recognized by Inc. 5000, Var Business as a "SaaS Pioneer," and by CRM Magazine as the #1 SaaS Consultancy. Additionally, Crain's New York Business named Bluewolf one of the "Best Places to Work in New York City." He holds a B.A. in Shakespearean Literature from U.C. Berkeley and an M.B.A. in Entrepreneurial Finance from New York University.</t>
  </si>
  <si>
    <t>36393-76P</t>
  </si>
  <si>
    <t>Eric Olden</t>
  </si>
  <si>
    <t>Olden</t>
  </si>
  <si>
    <t>Co-Founder, Chief Executive Officer &amp; Chairman</t>
  </si>
  <si>
    <t>Strata (Business/Productivity Software)</t>
  </si>
  <si>
    <t>+1 (415) 710-2020</t>
  </si>
  <si>
    <t>eric@strata.io</t>
  </si>
  <si>
    <t>Boulder, CO</t>
  </si>
  <si>
    <t>1023 Walnut Street</t>
  </si>
  <si>
    <t>Boulder</t>
  </si>
  <si>
    <t>80302</t>
  </si>
  <si>
    <t>Mr. Eric Olden is a Co-Founder and serves as Chief Executive Officer &amp; Chairman at Strata Identity. Prior to co-founding Strata, he was Senior Vice President and General Manager of Oracle's Identity and Cloud Security division. Before that he was the co-founder and CEO of Symplified, the industry's first Identity as a Service (IDaaS) company that was acquired by RSA. He was also the CTO and co-founder of Securant Technologies and led the development of ClearTrust. A staunch believer in standards, he co-authored AuthXML with Darren Platt and negotiated its combination with Netegrity's S2ML to create Oasis' SAML standard. He has been published in several technical journals and is a regular speaker at industry events. He was awarded US Patents US8418238 &amp; US6460141 for his pioneering designs for Web identity. He is a graduate of the University of California at Berkeley.</t>
  </si>
  <si>
    <t>30674-80P</t>
  </si>
  <si>
    <t>Eric Stonestrom</t>
  </si>
  <si>
    <t>Stonestrom</t>
  </si>
  <si>
    <t>Founding Member, Chief Executive Officer, President &amp; Board Member</t>
  </si>
  <si>
    <t>Airspan Networks</t>
  </si>
  <si>
    <t>+1 (561) 893-8670</t>
  </si>
  <si>
    <t>estonestrom@airspan.com</t>
  </si>
  <si>
    <t>Boca Raton, FL</t>
  </si>
  <si>
    <t>777 Yamato Road</t>
  </si>
  <si>
    <t>Boca Raton</t>
  </si>
  <si>
    <t>33431</t>
  </si>
  <si>
    <t>+1 (561) 893-8671</t>
  </si>
  <si>
    <t>Mr. Eric Stonestrom is a Founding Member and serves as Chief Executive Officer, President and Board Member at Airspan. He joined Airspan as Executive Vice President and Chief Operating Officer in January 1998. In May 1998, he was named President and Chief Executive Officer, as well as a member of the Board of Directors. From 1995 to January 1998, Mr. Stonestrom was employed by DSC Communications Corporation, a provider of telecommunications equipment and services ("DSC"), as a Vice President of operating divisions, including the Airspan product line. From 1984 until 1995, Mr. Stonestrom worked at telecommunications corporations Bell Laboratories and AT&amp;T in a variety of positions. He received B.S., M.S. and M. Eng. degrees in 1982, 1983 and 1984, respectively, from the College of Engineering at the University of California at Berkeley.</t>
  </si>
  <si>
    <t>44090-56P</t>
  </si>
  <si>
    <t>Gregory Anderson</t>
  </si>
  <si>
    <t>Anderson</t>
  </si>
  <si>
    <t>Gregory</t>
  </si>
  <si>
    <t>3DR</t>
  </si>
  <si>
    <t>+1 (510) 990-8096</t>
  </si>
  <si>
    <t>chris@3drobotics.com</t>
  </si>
  <si>
    <t>1608 Fourth Street</t>
  </si>
  <si>
    <t>Suite 410</t>
  </si>
  <si>
    <t>94710</t>
  </si>
  <si>
    <t>+1 (858) 605-4541</t>
  </si>
  <si>
    <t>Mr. Gregory Anderson is a Co-Founder of 3D Robotics and serves as its Chief Executive Officer. Previously he worked as Editor in Chief at Wired. From 2001 through 2012 he was Editor in Chief of Wired Magazine, AdWeek's "Magazine of the Decade" (2009). Before Wired Chris was with The Economist for seven years, and prior to that spent six years at the two leading scientific journals, Nature and Science.</t>
  </si>
  <si>
    <t>186999-76P</t>
  </si>
  <si>
    <t>Hany Syed</t>
  </si>
  <si>
    <t>Syed</t>
  </si>
  <si>
    <t>Hany</t>
  </si>
  <si>
    <t>Managing Director</t>
  </si>
  <si>
    <t>Bridge Technology Capital</t>
  </si>
  <si>
    <t>hany@bridgetechcap.com</t>
  </si>
  <si>
    <t>Mr. Hany Syed is a Co-Founder and serves as Chief Executive Officer at Athleta-Ed. He serves as Managing Director at Bridge Technology Capital. Mr. Syed also serves as Venture Partner at SkyChee Ventures. Mr. Syed was part of the founding team of a Dubai, UAE based investment management firm established in 2007 focused on social infrastructure sectors (education, healthcare, TMT, transportation and logistics, power and energy, security and defense). He was operationally active in transactions from Board participation to interim CEO and Executive Director roles.</t>
  </si>
  <si>
    <t>139601-17P</t>
  </si>
  <si>
    <t>Hari Balakrishnan Ph.D</t>
  </si>
  <si>
    <t>Balakrishnan</t>
  </si>
  <si>
    <t>Hari</t>
  </si>
  <si>
    <t>Co-Founder, Chairman &amp; Chief Technology Officer</t>
  </si>
  <si>
    <t>Cambridge Mobile Telematics</t>
  </si>
  <si>
    <t>+1 (617) 751-4141</t>
  </si>
  <si>
    <t>hari@cmtelematics.com</t>
  </si>
  <si>
    <t>314 Main Street</t>
  </si>
  <si>
    <t>02142</t>
  </si>
  <si>
    <t>Mr. Hari Balakrishnan is the Co-Founder of Cambridge Mobile Telematics and also serves as its Chairman and Chief Technology Officer. Hari led the MIT CarTel project with Sam Madden, developing several award-winning papers and technologies that were the academic origins of Cambridge Mobile Telematics. He is also the Fujitsu Professor of Computer Science at MIT and a Director of Wireless@MIT; he is well-known for several widely cited papers and contributions to mobile and sensor computing, networking, and distributed systems. He co-founded StreamBase (acquired by TIBCO), was an advisor to Meraki (acquired by Cisco) from its pre-founding days, and contributed to Sandburst Corporation (acquired by Broadcom), all MIT spin-offs. He was elected to the National Academy of Engineering in 2015.</t>
  </si>
  <si>
    <t>144846-46P</t>
  </si>
  <si>
    <t>Ilan Gur Ph.D</t>
  </si>
  <si>
    <t>Gur</t>
  </si>
  <si>
    <t>Ilan</t>
  </si>
  <si>
    <t>Co-Founder &amp; Executive Director</t>
  </si>
  <si>
    <t>Cyclotron Road</t>
  </si>
  <si>
    <t>ilan@cyclotronroad.com</t>
  </si>
  <si>
    <t>1 Cyclotron Road</t>
  </si>
  <si>
    <t>94720</t>
  </si>
  <si>
    <t>Dr. Ilan Gur is a Co-Founder and serves as Executive Director at Cyclotron Road. Ilan founded Cyclotron Road to bridge a gap he observed in energy technology innovation over the past decade. Before launching the program, he served as Program Director at the Advanced Research Projects Agency-Energy (ARPA-E). At ARPA-E, he managed a $50 million portfolio of advanced R&amp;D projects in the areas of energy storage, solar energy, and advanced materials. He was also a senior advisor and cofounder of ARPA-E's Technology-to-Market program, aimed at maximizing the commercial and societal impact of the agency's breakthrough R&amp;D portfolio. Prior to ARPA-E, Ilan launched two venture-backed clean energy startups based on advanced materials and novel manufacturing approaches. He holds B.S., M.S., and Ph.D. degrees in materials science and engineering from the University of California, Berkeley. He serves as an advisor at Feasible.</t>
  </si>
  <si>
    <t>35320-15P</t>
  </si>
  <si>
    <t>Jagdeep Singh</t>
  </si>
  <si>
    <t>Jagdeep</t>
  </si>
  <si>
    <t>Chief Executive Officer &amp; Chairman</t>
  </si>
  <si>
    <t>QuantumScape</t>
  </si>
  <si>
    <t>+1 (408) 452-2000</t>
  </si>
  <si>
    <t>jsingh@quantumscape.com</t>
  </si>
  <si>
    <t>1730 Technology Drive</t>
  </si>
  <si>
    <t>Mr. Jagdeep Singh is a Co-Founder and serves as Chief Executive Officer and Chairman at QuantumScape. He was a Board Member of Ardica Technologies. Previously, he Co-Founded Infinera and served as President and Chief Executive Officer. Prior, he Co-Founded and served as Chief Executive Officer at both Lightera Networks and AirSoft. Mr. Singh holds a B.S. in Computer Science from the University of Maryland, an M.S. in Computer Science from Stanford University and an M.B.A. from the University of California, Berkeley.</t>
  </si>
  <si>
    <t>157478-77P</t>
  </si>
  <si>
    <t>Jeffery Adams</t>
  </si>
  <si>
    <t>Adams</t>
  </si>
  <si>
    <t>Jeffery</t>
  </si>
  <si>
    <t>Co-Founder, Chief Scientist &amp; Technology Contributor</t>
  </si>
  <si>
    <t>OmniBot</t>
  </si>
  <si>
    <t>adamsj@omnibot.ai</t>
  </si>
  <si>
    <t>Oldenburg, Germany</t>
  </si>
  <si>
    <t>Marie-Curie-Street 1</t>
  </si>
  <si>
    <t>Oldenburg</t>
  </si>
  <si>
    <t>26129</t>
  </si>
  <si>
    <t>Mr. Jeffery Adams is a Co-Founder and serves as Chief Scientist &amp; Technology Contributor at OmniBot. He is the Founder at Cobalt Speech &amp; Language and also serves as its Chief Executive Officer. Mr. Jeff Adams is also a Co-Founder of Canary Speech and also serves as its Chief Technology Officer and Board Member. He has been managing top-level speech &amp; language technology research for 20 years. Until 6 years ago, he worked at Nuance / Dragon, where he was responsible for developing &amp; improving the speech recognition that went into Nuance's "Dragon" dictation software. He presided over many of the key improvements in the 1990s and 2000s that brought this technology into the mainstream and enabled widespread adoption. Jeff left Nuance in 2009 for Yap. Yap's business was cloud-based speech recognition, primarily for the voicemail-to-text market. Under Jeff's oversight, Yap built a world-class research group to go head-to-head against the much bigger companies that dominated the market, including at least one that used thousands of off-shore human transcribers. Yap's success attracted the attention of Amazon, and Jeff and his team of 12 scientists moved to Amazon in 2011, forming the core of Amazon's new speech &amp; language research lab. At Amazon, Jeff led efforts to build one of the industry's leading speech &amp; language groups. That team is building speech and language solutions such as Echo, Fire TV and Dash.</t>
  </si>
  <si>
    <t>60080-95P</t>
  </si>
  <si>
    <t>Jeremy Schiff Ph.D</t>
  </si>
  <si>
    <t>Schiff</t>
  </si>
  <si>
    <t>Jeremy</t>
  </si>
  <si>
    <t>RecruitBot</t>
  </si>
  <si>
    <t>jschiff@therecruitbot.com</t>
  </si>
  <si>
    <t>Encino, CA</t>
  </si>
  <si>
    <t>5125 Louise Avenue</t>
  </si>
  <si>
    <t>Encino</t>
  </si>
  <si>
    <t>91316</t>
  </si>
  <si>
    <t>Dr. Jeremy Schiff is the Founder and serves as Chief Executive Officer at RecruitBot. He serves as the VP, Machine Learning at Ness Computing. He also served as Advisor at Sapho. While at Berkeley, he started FotoFlexer, a company that provided photo-editing capabilities to companies such as PhotoBucket and MySpace. After FotoFlexer, he was the first executive hire at Ness Computing, a personalized restaurant recommendation app, which was sold to OpenTable. At OpenTable, he was in charge of the Data Science efforts including search recommendations and a number of restaurant optimization problems. He got his BS and Ph.D. in Robotics at UC Berkeley.</t>
  </si>
  <si>
    <t>113841-01P</t>
  </si>
  <si>
    <t>John Pujol</t>
  </si>
  <si>
    <t>Pujol</t>
  </si>
  <si>
    <t>SimpleLab</t>
  </si>
  <si>
    <t>+1 (510) 575-0080</t>
  </si>
  <si>
    <t>johnny@gosimplelab.com</t>
  </si>
  <si>
    <t>450 Sutardja Dai Hall</t>
  </si>
  <si>
    <t>University of California</t>
  </si>
  <si>
    <t>Mr. John Pujolis a Co-Founder and serves as Chief Executive Officer and Board Member at SimpleLab. He is a Co-Founder and serves as Chief Executive Officer at NovelTeas. He also serves as Advisor at JHP Enterprises. He leads SimpleLab's ArsenicVolt development team in the United States. He builds a partnership among the private and public sectors to understand and address the needs of small community water systems. John has worked on drinking water projects internationally and domestically. As an analyst for Piramal Water in India, he designed a water quality monitoring system for a distributed network of water treatment ATM's and also structured sustainable pricing schemes for drinking water access in urban slums. Under contract with the Inter-American Development Bank, John collaborated with a research team in the Energy &amp; Resources Group of UC Berkeley to model energy and carbon footprints of residential water usage in Mexico. Before co-founding SimpleLab, he worked on recycled water planning in California as an engineering consultant at Carollo Engineers.</t>
  </si>
  <si>
    <t>48880-63P</t>
  </si>
  <si>
    <t>Jonathan Dariyanani JD</t>
  </si>
  <si>
    <t>Dariyanani</t>
  </si>
  <si>
    <t>Cognotion</t>
  </si>
  <si>
    <t>+1 (504) 841-0226</t>
  </si>
  <si>
    <t>jonathan@cognotion.com</t>
  </si>
  <si>
    <t>335 Madison Avenue</t>
  </si>
  <si>
    <t>10017</t>
  </si>
  <si>
    <t>Mr. Jonathan Dariyanani is a Co-Founder &amp; serves as Chief Executive Officer &amp; President at Cognotion. He is a Board Member of Cinematic Health Education. He also serves as Board Member at Crowdgather. He developed his theory of second language acquisition at Yale when he was 12 years old. As a grown-up, he has kept busy creatively disrupting companies from coast to coast. He started the worldwide language learning division at LeapFrog and he developed the category-leading language learning product at K12. His mission to fundamentally transform education has taken him to more than 20 countries on 6 continents.</t>
  </si>
  <si>
    <t>103356-82P</t>
  </si>
  <si>
    <t>Joshua Hoffman</t>
  </si>
  <si>
    <t>Joshua</t>
  </si>
  <si>
    <t>Zymergen</t>
  </si>
  <si>
    <t>+1 (415) 801-8073</t>
  </si>
  <si>
    <t>joshua@zymergen.com</t>
  </si>
  <si>
    <t>Emeryville, CA</t>
  </si>
  <si>
    <t>5980 Horton Street</t>
  </si>
  <si>
    <t>Suite 105</t>
  </si>
  <si>
    <t>Emeryville</t>
  </si>
  <si>
    <t>94608</t>
  </si>
  <si>
    <t>Mr. Joshua Hoffman is a Co-Founder of Zymergen, where he serves as Board Member and Chief Executive Officer. Prior to Zymergen, he was a Partner at Norcob Capital. He served as the Managing Director in Merchant Banking at Rothschild, where he was a member of the Management Committee. He began his career at McKinsey &amp; Company where he served industrial and technology clients on matters of strategy, operations and organization. He holds a BA from University of California, Berkeley and an MA and MPPM from Yale University.</t>
  </si>
  <si>
    <t>48047-95P</t>
  </si>
  <si>
    <t>Lowell Milken</t>
  </si>
  <si>
    <t>Lowell</t>
  </si>
  <si>
    <t>lmilken@kc-education.com</t>
  </si>
  <si>
    <t>Mr. Lowell Milken is a Co-Founder at KinderCare Education. He is a Co-Founder and serves as Chairman at Milken Family Foundation. Mr. Milken is also the Co-Founder of Knowledge Universe Holdings. He is presently the Chairman of the Board of Directors of Knowledge Universe Education Holdings which overseas all of the diverse U.S. operations of Knowledge Universe. Among his many contributions to the business of Knowledge Universe, he was responsible for Knowledge Universe's entry into the early childhood education business as well as Knowledge Universe's founding investment in K-12. The Milken Educator Awards, which Lowell conceived in 1985, is now the United States' preeminent teacher-recognition program.</t>
  </si>
  <si>
    <t>39512-80P</t>
  </si>
  <si>
    <t>Manish Chandra</t>
  </si>
  <si>
    <t>Chandra</t>
  </si>
  <si>
    <t>Manish</t>
  </si>
  <si>
    <t>Poshmark</t>
  </si>
  <si>
    <t>manish@poshmark.com</t>
  </si>
  <si>
    <t>203 Redwood Shores Parkway</t>
  </si>
  <si>
    <t>94065</t>
  </si>
  <si>
    <t>Mr. Manish Chandra is a Co-Founder of Poshmark and serves as its Chief Executive Officer &amp; Chairman. As CEO, Manish is responsible for guiding the vision, strategy and growth of the company. Under his leadership, Manish has applied over 20 years of experience building and scaling companies to create a social marketplace that combines the human connection of a physical shopping experience with the scale, reach, ease, and selection benefits of ecommerce. Prior to Poshmark, Manish co-founded Kaboodle, an online shopping website where he served as CEO, and which was acquired by Hearst Communications in August 2007. Before Kaboodle, Manish held executive positions at Versant, Versata (IPO 2000, acquired by Trilogy), and Sybase (IPO 1991, acquired by SAP). Manish holds an M.B.A. in Marketing and Finance from Haas Business School at the University of California, Berkeley, an M.S. in Computer Science from the University of Texas at Austin, and a B.Tech from the Indian Institute of Technology, Kanpur.</t>
  </si>
  <si>
    <t>36938-53P</t>
  </si>
  <si>
    <t>Michael Cima Ph.D</t>
  </si>
  <si>
    <t>Cima</t>
  </si>
  <si>
    <t>Board Member &amp; Founder</t>
  </si>
  <si>
    <t>T2 Biosystems</t>
  </si>
  <si>
    <t>+1 (781) 457-1200</t>
  </si>
  <si>
    <t>mcima@t2biosystems.com</t>
  </si>
  <si>
    <t>Lexington, MA</t>
  </si>
  <si>
    <t>91 Hartwell Avenue</t>
  </si>
  <si>
    <t>Lexington</t>
  </si>
  <si>
    <t>02421</t>
  </si>
  <si>
    <t>+1 (781) 357-3080</t>
  </si>
  <si>
    <t>Michael J. Cima, Ph.D. is one of our founders and has served as a member of our Board of Directors since 2006. Since 1986, Dr. Cima has been a Professor of Materials Science and Engineering at Massachusetts Institute of Technology, or MIT, and he is currently an Associate Dean of Engineering, holds the David H. Koch Engineering Chair and an appointment at the Koch Institute for Integrative Cancer Research. Dr. Cima received his B.S. in chemistry and his Ph.D. in chemical engineering, both from the University of California at Berkeley.</t>
  </si>
  <si>
    <t>66535-12P</t>
  </si>
  <si>
    <t>Michael Jaasma Ph.D</t>
  </si>
  <si>
    <t>Jaasma</t>
  </si>
  <si>
    <t>Bone Health Technologies</t>
  </si>
  <si>
    <t>+44 (0)41 5926 8616</t>
  </si>
  <si>
    <t>mjaasma@bonehealthtech.com</t>
  </si>
  <si>
    <t>101 Mississippi Street</t>
  </si>
  <si>
    <t>Mr. Michael Jaasma is a Co-Founder and serves as Chief Technology Officer &amp; Board Member at Bone Health Technologies. He serves as Biomedical Engineer at Food &amp; Drug Analytical Services. He was the Director of Pre-clinical Affairs at Biomimedica. He has a broad background in bioengineering, with over 10 years of experience in medical device R&amp;D and almost 2 years as FDA Reviewer and Orthopedics Branch Chief. Dr. Jaasma has the necessary regulatory experience to bring Osteoboost through FDA clearance and to the market. He serves as Chief Science Officer at Respirix.</t>
  </si>
  <si>
    <t>106590-25P</t>
  </si>
  <si>
    <t>Michael Lauth</t>
  </si>
  <si>
    <t>Lauth</t>
  </si>
  <si>
    <t>Ixsystems</t>
  </si>
  <si>
    <t>+1 (408) 943-4100</t>
  </si>
  <si>
    <t>mike@ixsystems.com</t>
  </si>
  <si>
    <t>2490 Kruse Drive</t>
  </si>
  <si>
    <t>+1 (408) 943-4101</t>
  </si>
  <si>
    <t>Mr. Mike Lauth is a Co-Founder of Ixsystems and serves as its Chief Executive Officer and President.</t>
  </si>
  <si>
    <t>126384-49P</t>
  </si>
  <si>
    <t>Natasha Case</t>
  </si>
  <si>
    <t>Case</t>
  </si>
  <si>
    <t>Natasha</t>
  </si>
  <si>
    <t>Coolhaus</t>
  </si>
  <si>
    <t>natasha@cool.haus</t>
  </si>
  <si>
    <t>8588 Washington Boulevard</t>
  </si>
  <si>
    <t>90232</t>
  </si>
  <si>
    <t>Ms. Natasha Case is a Co-Founder &amp; serves as the Chief Executive Officer at Coolhaus. Ms. Natasha Case founded Coolhaus in 2009 with Freya Estreller after she was working in architecture at Walt Disney Imagineering. She also served as Board Member &amp; Advisor at Ludlows Cocktail Company. They launched their architecturally-inspired, unique ice cream sandwich company from their barely drive-able postal van at the Coachella Music Festival to an audience of 100,000. They built a loyal following over the festival weekend and returned to LA to an abundance of viral press, a rapidly building social media following, and an eager foodie audience. Since then, Natasha has been named a Forbes 30 under 30 Food &amp; Beverage, Zagat 30 Under 30, Linked in 10 under 35 for Food &amp; Leisure, as well as being featured in many national publications and radio like Cosmo, Dwell, Bon Appetit, Vice and NPR, and TV shows including Food Network's Chopped, Barefoot Contessa, Unique Sweets, Good Morning America, King of Cones, Andy Cohen Live, Top Chef Jr and many more. The company has become one of the leading innovative small dessert businesses, growing significantly to include 4 trucks and 2 storefronts in LA, 2 trucks in NYC, and 4 trucks in Dallas, Texas. It's biggest growth today is in wholesale, and consumers can now find Coolhaus' pre-packaged ice cream sandwiches, hand-packed pints, and hand-dipped bars totaling 30 SKU's in 6,000+ gourmet grocery stores nationally ranging from Whole Foods and Wegman's to Safeway Albertson's and Publix, and now internationally in Asia and the Middle East. Today Natasha works as the CEO of Coolhaus, creating new product opportunities (including a vegan line, due 2019) from development to design, building new relationships and innovating ideas that keep Coolhaus on top of it's game as zealous expansion continues.</t>
  </si>
  <si>
    <t>80635-78P</t>
  </si>
  <si>
    <t>Newell Washburn Ph.D</t>
  </si>
  <si>
    <t>Washburn</t>
  </si>
  <si>
    <t>Newell</t>
  </si>
  <si>
    <t>Ansatz AI</t>
  </si>
  <si>
    <t>+1 (412) 268-2130</t>
  </si>
  <si>
    <t>+1 (412) 268-1061</t>
  </si>
  <si>
    <t>Dr. Newell Washburn is a Co-Founder of Ansatz AI. He serves as Associate Professor of Chemistry, Biomedical Engineering and Materials Science &amp; Engineering at Carnegie Mellon University. He is a Founder of Salix Lignopolymers and also serves as its President. Dr. Newell Washburn was the founder and served as the President at Washburn Therapeutics. He serves as Assistant Professor at Carnegie Mellon University.</t>
  </si>
  <si>
    <t>72219-97P</t>
  </si>
  <si>
    <t>Omar Haroun JD</t>
  </si>
  <si>
    <t>Haroun</t>
  </si>
  <si>
    <t>Omar</t>
  </si>
  <si>
    <t>Co-Founder, Chief Operating Officer &amp; Board Member</t>
  </si>
  <si>
    <t>Text IQ</t>
  </si>
  <si>
    <t>omar@textiq.com</t>
  </si>
  <si>
    <t>69 Charlton Street</t>
  </si>
  <si>
    <t>10014</t>
  </si>
  <si>
    <t>Mr. Omar Haroun is a Co-Founder and serves as Chief Operating Officer &amp; Board Member at Text IQ. Previously he served as Managing Partner at Oxford Digital Consulting Group. He is also an Angel Investor. He co-founded and served as Chief Executive Officer at Sportaneous.</t>
  </si>
  <si>
    <t>47474-02P</t>
  </si>
  <si>
    <t>Pejman Pour-Moezzi</t>
  </si>
  <si>
    <t>Pour-Moezzi</t>
  </si>
  <si>
    <t>Pejman</t>
  </si>
  <si>
    <t>Co-Founder, Chief Executive Officer, President and Board Member</t>
  </si>
  <si>
    <t>Reflective</t>
  </si>
  <si>
    <t>+1 (206) 588-5390</t>
  </si>
  <si>
    <t>pejman@reflective.co</t>
  </si>
  <si>
    <t>Mercer Island, WA</t>
  </si>
  <si>
    <t>3211 78th Avenue SouthEast</t>
  </si>
  <si>
    <t>Suite 114</t>
  </si>
  <si>
    <t>Mercer Island</t>
  </si>
  <si>
    <t>98040</t>
  </si>
  <si>
    <t>Mr. Pejman Pour-Moezzi is a Co-Founder and serves as Chief Executive Officer, President and Board Member at Reflective. He is also a Co-Founder and serves as Board Member at Magoosh. Mr. Pejman Pour-Moezzi is a Co-Founder and serves as President and Chief Executive Officer at Cody. He has an MBA and BA in Cognitive Science from UC Berkeley.</t>
  </si>
  <si>
    <t>46080-10P</t>
  </si>
  <si>
    <t>Philip Levis Ph.D</t>
  </si>
  <si>
    <t>Levis</t>
  </si>
  <si>
    <t>Kumu Networks</t>
  </si>
  <si>
    <t>960 Hamlin Court</t>
  </si>
  <si>
    <t>94089</t>
  </si>
  <si>
    <t>Dr. Philip Levis is a Co-Founder of Kumu Networks. He is Associate Professor of EE and CS at Stanford University.</t>
  </si>
  <si>
    <t>56426-05P</t>
  </si>
  <si>
    <t>Philip Walter</t>
  </si>
  <si>
    <t>Walter</t>
  </si>
  <si>
    <t>Co-Founder, Chief Executive Officer, President &amp; Board Member</t>
  </si>
  <si>
    <t>Realief Neuropathy Centers</t>
  </si>
  <si>
    <t>+1 (952) 260-5496</t>
  </si>
  <si>
    <t>p.walter@realiefcenters.com</t>
  </si>
  <si>
    <t>Brooklyn Park, MN</t>
  </si>
  <si>
    <t>7100 Northland Circle North</t>
  </si>
  <si>
    <t>Suite 119</t>
  </si>
  <si>
    <t>Brooklyn Park</t>
  </si>
  <si>
    <t>Minnesota</t>
  </si>
  <si>
    <t>55428</t>
  </si>
  <si>
    <t>Mr. Walter is a Co-Founder and serves as Chief Executive Officer, President and Board Member at Realief Neuropathy Centers. He is the former CEO/CFO of Altera Law Group, a Minneapolis-based intellectual property law firm. He has over 20 years of corporate experience at various companies, including American Woodmark, The TORO Company and Michelin Tire Company. He served in the United States Army as an Infantry member, Airborne Ranger and in the Special Forces and was based in Vietnam, Thailand, Turkey, and CONUS with operations in various Southeast Asia and Middle Eastern countries. He holds a BA in Philosophy from the University of California at Berkeley and an MBA in Finance from St. Mary's College of California.</t>
  </si>
  <si>
    <t>71251-03P</t>
  </si>
  <si>
    <t>Reynold Xin Ph.D</t>
  </si>
  <si>
    <t>Xin</t>
  </si>
  <si>
    <t>Reynold</t>
  </si>
  <si>
    <t>Co-Founder &amp; Chief Architect</t>
  </si>
  <si>
    <t>Databricks</t>
  </si>
  <si>
    <t>+1 (866) 330-0121</t>
  </si>
  <si>
    <t>rxin@databricks.com</t>
  </si>
  <si>
    <t>160 Spear Street</t>
  </si>
  <si>
    <t>13th Floor</t>
  </si>
  <si>
    <t>Dr. Reynold Xin is a Co-Founder and serves as Chief Architect at Databricks. He lead the efforts in the 2014 Daytona GraySort contest and set the 2014 world record, beating the previous record held by Hadoop with 30X higher per-node efficiency. Prior to Databricks, he was a PhD student at the UC Berkeley AMPLab, where he focused on scalable data processing. He wrote the highest cited papers in SIGMOD 2011, 2013, and 2015, and won Best Demo Award at VLDB 2011 and SIGMOD 2012.</t>
  </si>
  <si>
    <t>134471-80P</t>
  </si>
  <si>
    <t>Robert Crockett Ph.D</t>
  </si>
  <si>
    <t>Crockett</t>
  </si>
  <si>
    <t>Robert</t>
  </si>
  <si>
    <t>CoLabs (Medical Supplies)</t>
  </si>
  <si>
    <t>+1 (916) 934-8403</t>
  </si>
  <si>
    <t>Morgan Hill, CA</t>
  </si>
  <si>
    <t>17361 Lakeview Drive</t>
  </si>
  <si>
    <t>Morgan Hill</t>
  </si>
  <si>
    <t>95037</t>
  </si>
  <si>
    <t>Dr. Robert Crockett is a Co-Founder and Board Member of CoLabs Medical, where he serves as Executive Officer. He serves as Vice President, Engineering at I-V Access Technology. He is a Co-Founder of AxonVR and also serves as its Lead Engineer. Dr. Crockett is a Professor and the Director of General Engineering at Cal Poly in San Luis Obispo. He founded Proof of Concept, a contract engineering firm that provides R&amp;D and prototyping services to early-stage tech companies. Bob specializes in advanced materials manufacturing and has over 20 years of systems engineering experience.</t>
  </si>
  <si>
    <t>61268-50P</t>
  </si>
  <si>
    <t>Robert Lowe Ph.D</t>
  </si>
  <si>
    <t>Lowe</t>
  </si>
  <si>
    <t>Wellspring</t>
  </si>
  <si>
    <t>+1 (312) 643-5100</t>
  </si>
  <si>
    <t>rob.lowe@wellspring.com</t>
  </si>
  <si>
    <t>350 North LaSalle Boulevard</t>
  </si>
  <si>
    <t>60654</t>
  </si>
  <si>
    <t>Dr. Robert Lowe is the Founder and serves as Chief Executive Officer and Board Member at Wellspring Worldwide.</t>
  </si>
  <si>
    <t>36724-78P</t>
  </si>
  <si>
    <t>Ryan Howard</t>
  </si>
  <si>
    <t>Howard</t>
  </si>
  <si>
    <t>100Plus</t>
  </si>
  <si>
    <t>+1 (844) 483-7587</t>
  </si>
  <si>
    <t>ryan@100plus.com</t>
  </si>
  <si>
    <t>430 Main Street</t>
  </si>
  <si>
    <t>Mr. Ryan Howard is a Co-Founder and serves as Chief Executive Officer at 100Plus. He previously founded Practice Fusion and served as Chairman. He is a social entrepreneur with a focus on delivering better health and saving lives through the use of technology. Serving over 110 million patients, the platform connects doctors, pharmacies, labs, and imaging centers to solve healthcare's biggest challenges. Ryan has been recognized as one of the Top 40 under 40 by the San Francisco Business Times, Silicon Valley 100 by Business Insider, 100 Most Intriguing Entrepreneurs of 2013 by Goldman Sachs and was named a Technology Pioneer by the World Economic Forum. He has spoken on health technology and innovation at Microsoft, Stanford, UC Berkeley, HIMSS, SDForum, VentureBeat's HealthBeat, Health 2.0, Vator, and Commonwealth Club events and has been quoted by the Wall Street Journal, New York Times and Wired as an innovative leader in the sector. He holds a degree in Psychology from University of New Hampshire and degrees from University of California, Berkeley and St Mary's College of California.</t>
  </si>
  <si>
    <t>47663-92P</t>
  </si>
  <si>
    <t>Sharam Sasson</t>
  </si>
  <si>
    <t>Sharam</t>
  </si>
  <si>
    <t>Jitterbit</t>
  </si>
  <si>
    <t>+1 (877) 852-3500</t>
  </si>
  <si>
    <t>sharam.sasson@jitterbit.com</t>
  </si>
  <si>
    <t>Alameda, CA</t>
  </si>
  <si>
    <t>1301 Marina Village Parkway</t>
  </si>
  <si>
    <t>Suite 201</t>
  </si>
  <si>
    <t>Alameda</t>
  </si>
  <si>
    <t>94501</t>
  </si>
  <si>
    <t>Mr. Sharam Sasson is the Founder and serves as Chairman at Jitterbit. He is also an Angel Investor. He also serves as Advisor at Primera Capital. He has co-founded three successful technology companies from their inception. His latest startup is Jitterbit, a data and application integration company. Prior to Jitterbit, Sasson was the founding CEO and chairman of Extensity, an enterprise software company, which Sasson guided from inception to record breaking IPO and final acquisition by GEAC in 2003. He has also co-founded Scopus Technology. He holds a master's degree in engineering from the University of California at Berkeley, and a B.S.C. from Queen Mary College, University of London.</t>
  </si>
  <si>
    <t>68749-57P</t>
  </si>
  <si>
    <t>Shari Ressler JD</t>
  </si>
  <si>
    <t>Ressler</t>
  </si>
  <si>
    <t>Shari</t>
  </si>
  <si>
    <t>Michael Best &amp; Friedrich</t>
  </si>
  <si>
    <t>+1 (512) 320-0601</t>
  </si>
  <si>
    <t>shari@rwr.legal</t>
  </si>
  <si>
    <t>Terrace 2 Building 2700 Via Fortuna</t>
  </si>
  <si>
    <t>Suite 250</t>
  </si>
  <si>
    <t>Ms. Shari Ressler serves as a Partner at Michael Best &amp; Friedrich. Ms. Ressler was a Co-Founder and served as Managing Partner at RWR Legal. Her entrepreneurial spirit and commitment to helping people achieve success to drive the firm's purpose, vision, and mission. She is responsible for strategic planning and manages the execution of firm activities, including client service and development. Ms. Wynne is a self-made, serial entrepreneur, starting her first business at the age of 16. She co-founded MWR Legal in 1996, with the goal of serving all clients with the same skill, vigor and intelligence that benefits the largest companies in the world. In 2006, she created 6Degrees Connect, a personalized referral match company founded to connect the firm's small business clients with proven, vetted service providers. In October of 2011, she and MWR Legal launched Incubation Station, an industry focused success-accelerator that connects entrepreneurs with the industry resources and mentorship needed to succeed. Ms. Wynne is a Past President of the Austin Chapter of Entrepreneurs' Organization, a global association of business owners; past co-Chair of the Austin Business Journal's Fast-Fifty Executive Advisory Board and is the current president of RISE: Women, dedicated to helping women entrepreneurs. She has been honored on multiple occasions for her service to the Austin Entrepreneurial Community. She practiced employee benefits law with a focus on fiduciary issues, and other Pension Benefit Guaranty Corporation ("PBGC") and Internal Revenue Service ("IRS") issues such as funding, diversification, compliance, tax qualification and plan termination in connection with corporate/real estate transactions. She was honored with the Labor Secretary's Exceptional Achievement Award as the co-counsel in one of the leading cases in the Fifth Circuit Court of Appeals with respect to the fiduciary status and obligations of plan fiduciaries; see, Reich v. Lancaster, 843 F. Supp. 194 (N.D. Tex. 1993), aff'd, 55 F.3d 1034 (5th Cir. 1995). She received her Bachelor of Arts degree from the University of California at Davis and her Juris Doctorate from the University of California at Berkeley "Boalt Hall" School of Law.</t>
  </si>
  <si>
    <t>15791-41P</t>
  </si>
  <si>
    <t>Sid Gorham</t>
  </si>
  <si>
    <t>Gorham</t>
  </si>
  <si>
    <t>Sid</t>
  </si>
  <si>
    <t>Granular</t>
  </si>
  <si>
    <t>+1 (888) 435-4726</t>
  </si>
  <si>
    <t>sidgorham@granular.ag</t>
  </si>
  <si>
    <t>731 Market Street</t>
  </si>
  <si>
    <t>Mr. Sid Gorham is a Co-Founder &amp; serves as Chief Executive Officer at Granular. Before co-founding Granular, Sid led successful software and analytics companies, serving restaurants (OpenTable.com) and mobile phone companies (Telephia). In 2013, he saw an opportunity to apply similar technology tools to farming - one of the world's largest and most important industries. Today, Sid is responsible for setting growth strategy and ensuring that Granular maintains its strong entrepreneurial culture as it scales into a global company. Sid holds a BA from Trinity College and MBA from the University of California, Berkeley. He also serves as Board Member at Pattern Ag.</t>
  </si>
  <si>
    <t>144197-56P</t>
  </si>
  <si>
    <t>Stephen Hsu Ph.D</t>
  </si>
  <si>
    <t>Hsu</t>
  </si>
  <si>
    <t>Co-Founder &amp; Vice President, Research</t>
  </si>
  <si>
    <t>Genomic Prediction</t>
  </si>
  <si>
    <t>+1 (517) 355-0306</t>
  </si>
  <si>
    <t>stephen@genomicprediction.com</t>
  </si>
  <si>
    <t>North Brunswick, NJ</t>
  </si>
  <si>
    <t>675 US Highway One</t>
  </si>
  <si>
    <t>North Brunswick</t>
  </si>
  <si>
    <t>New Jersey</t>
  </si>
  <si>
    <t>08902</t>
  </si>
  <si>
    <t>Dr. Stephen Hsu is a Co-Founder of Genomic Prediction and also serves as its Vice President of Research. Dr. Hsu serves as Ex-Officio Member at Red Cedar Ventures. Dr. Hsu serves as Vice President, Research and Graduate Studies &amp; Board Member at Michigan State University. Before joining MSU in 2012, Stephen Hsu was director of the Institute for Theoretical Science and professor of physics at the University of Oregon. He also serves as scientific adviser to BGI (formerly Beijing Genomics Institute) and is a member of its Cognitive Genomics Lab. Hsu's primary work has been in applications of quantum field theory, particularly to problems in quantum chromodynamics, dark energy, black holes, entropy bounds, and particle physics beyond the standard model. He has also made contributions in genomics and bioinformatics, the theory of modern finance, and in encryption and information security. Founder of two Silicon Valley companies-SafeWeb, a pioneer in SSL VPN (Secure Sockets Layer Virtual Private Networks) appliances, which was acquired by Symantec in 2003, and Robot Genius Inc., which developed anti-malware technologies-Hsu has given invited research seminars and colloquia at leading research universities and laboratories around the world. He is the author of more than 100 research articles, ranging from theoretical physics and cosmology to computer science and biology. Hsu graduated from the California Institute of Technology and received his doctorate in physics from the University of California, Berkeley. A Junior Fellow of the Harvard Society of Fellows, he was on the faculty at Yale University before moving to the University of Oregon.</t>
  </si>
  <si>
    <t>50218-30P</t>
  </si>
  <si>
    <t>Surbhi Sarna</t>
  </si>
  <si>
    <t>Sarna</t>
  </si>
  <si>
    <t>Surbhi</t>
  </si>
  <si>
    <t>nVision Medical</t>
  </si>
  <si>
    <t>surbhi@nvisionmedical.com</t>
  </si>
  <si>
    <t>San Bruno, CA</t>
  </si>
  <si>
    <t>1192 Cherry Avenue</t>
  </si>
  <si>
    <t>San Bruno</t>
  </si>
  <si>
    <t>94066</t>
  </si>
  <si>
    <t>Ms. Surbhi Sarna is a Co-Founder and serves as Chief Executive Officer and Board Member at nVision Medical. She serves as Board Member at Penumbra. she has led the company from its inception and through its earliest days of product development, funding and initial clinical trials. In April 2018, nVision Medical was acquired by Boston Scientific. Ms. Sarna now leads the efforts to commercialize the technology developed by nVision Medical at Boston Scientific. Prior to her founding of nVision, Ms. Sarna held a variety of roles in healthcare, including roles at BioCardia and Abbott Vascular. Ms. Sarna received a BA from the University of California, Berkeley.</t>
  </si>
  <si>
    <t>42011-11P</t>
  </si>
  <si>
    <t>Tejal Desai Ph.D</t>
  </si>
  <si>
    <t>Desai</t>
  </si>
  <si>
    <t>Tejal</t>
  </si>
  <si>
    <t>Zordera</t>
  </si>
  <si>
    <t>+1 (415) 580-0762</t>
  </si>
  <si>
    <t>tejal@zordera.com</t>
  </si>
  <si>
    <t>615 Kirkham Street</t>
  </si>
  <si>
    <t>Dr. Tejal Desai is a Co-Founder of Zordera. She serves as Clinical Advisor at Medical Technology Venture Partners. Dr. Desai is a Co-Founder and served as Research Advisor at Cell Habitats and also serves as Venture Partner at Catalio Capital Management. She is currently Department Vice-Chair and Professor of Bioengineering and Therapeutic Sciences at the University of California, San Francisco. She is also a member of the California Institute for Quantitative Biomedical Research, chair of the UCSF/UC Berkeley Graduate Group in Bioengineering and faculty director of the UCSF/UC Berkeley Master's in Translational Medicine. Dr. Desai directs the Laboratory of Therapeutic Micro and Nanotechnology. Her research uses micro and nanofabrication techniques to create implantable biohybrid devices for cell encapsulation, targeted drug delivery and templates for cell and tissue regeneration. Prior to joining UCSF, she was an Associate Professor of Biomedical Engineering at Boston University and Associate Director of the Center for Nanoscience and Nanobiotechnology at BU. She received a Sc.B. degree in Biomedical Engineering from Brown University (Providence, RI) in 1994 and the Ph.D. degree in bioengineering from the joint graduate program at the University of California, Berkeley and the University of California, San Francisco, in 1998. In addition to authoring over 150 technical papers and delivering over 160 invited talks, she is presently a senior editor of Langmuir, Biomedical Microdevices and Sensors Letters and is co-editor of an encyclopedia on Therapeutic Microtechnology. Desai's research efforts have earned her numerous awards which include being named by Technology Review Magazine as one of the nation's Top 100 Young Innovators, the Young Career Award from the Engineering in Medicine and Biology Society (IEEE EMBS) and the UC Berkeley Distinguished Young Alumni award. She was more recently named as part of Popular Sciences' Brilliant 10.</t>
  </si>
  <si>
    <t>47736-91P</t>
  </si>
  <si>
    <t>Thejovardhana Kote</t>
  </si>
  <si>
    <t>Kote</t>
  </si>
  <si>
    <t>Thejovardhana</t>
  </si>
  <si>
    <t>Airbase (Financial Services)</t>
  </si>
  <si>
    <t>thejo.kote@airbase.io</t>
  </si>
  <si>
    <t>Burlingame, CA</t>
  </si>
  <si>
    <t>1204 Drake Avenue</t>
  </si>
  <si>
    <t>Burlingame</t>
  </si>
  <si>
    <t>94010</t>
  </si>
  <si>
    <t>Mr. Thejo Kote is the Founder of Airbase, where he serves as Chief Executive Officer. Mr. Kote co-founded and served as Advisor at NextDrop. He is also an Angel Investor. He has also served as the Chief Executive Officer and was a Co-Founded at Automatic Labs. He previously served at Primera Capital, Netcore Solutions and Infosys Technologies Limited. He holds a Master's in Information from University of California, Berkeley. He also holds a BE in Electrical and Electronics Engineering from Visvesvaraya Technological University.</t>
  </si>
  <si>
    <t>112927-24P</t>
  </si>
  <si>
    <t>Tim Thimmaiah</t>
  </si>
  <si>
    <t>Thimmaiah</t>
  </si>
  <si>
    <t>Tim</t>
  </si>
  <si>
    <t>ToneDen</t>
  </si>
  <si>
    <t>tim@toneden.io</t>
  </si>
  <si>
    <t>1455 North Gower Street</t>
  </si>
  <si>
    <t>Box Suite 20</t>
  </si>
  <si>
    <t>90028</t>
  </si>
  <si>
    <t>Mr. Tim Thimmaiah is a Co-Founder and serves as Chief Executive Officer and Board Member at ToneDen. He serves as Principal at Black Jays Investments. He has been an operator for the past decade and is well versed in all aspects of designing, building and launching consumer and enterprise products. Tim also has a deep understanding of marketing technology across social and traditional digital channels. As a Founder himself, he loves working closely with fellow builders at the earliest stage of their start up journey. Tim holds a BS in Bioengineering from UC Berkeley.</t>
  </si>
  <si>
    <t>88820-29P</t>
  </si>
  <si>
    <t>Todd Dipaola</t>
  </si>
  <si>
    <t>Dipaola</t>
  </si>
  <si>
    <t>Todd</t>
  </si>
  <si>
    <t>inMarket Media</t>
  </si>
  <si>
    <t>todd@inmarket.com</t>
  </si>
  <si>
    <t>10549 Jefferson Boulevard</t>
  </si>
  <si>
    <t>Mr. Todd Dipaola is a Co-Founder and serves as Chief Executive Officer &amp; Board Member at inMarket Media. Veteran entrepreneur Todd Dipaola co-founded inMarket in 2010 to bring the performance and accountability of digital marketing to the realm of retail . Todd previously co-founded and bootstrapped digital marketing agency Vantage Media at the inception of search advertising. Vantage ranked 31 on the Inc 500 and earned "The Fastest Growing Technology Company in Los Angeles" honors by Deloitte's Fast50. In 2007, Todd exited the company at a valuation north of $100MM. Todd's entrepreneurial experience is also rooted in philanthropy. In 2007, he created the Dipaola Foundation, which was featured in Entrepreneur Magazine, to work on environmental and systemic societal issues. He sits on several boards including UC Berkeley's Goldman School of Public Policy and California Common Cause. As Chairman of Common Cause, the organization succeeded in reforming redistricting to eliminate gerrymandering and activating online voter registration for the first time in history. Todd graduated as a Regents Scholar from UC Berkeley in Molecular and Cell Biology with an emphasis in Immunology.</t>
  </si>
  <si>
    <t>141609-79P</t>
  </si>
  <si>
    <t>Victor Santos</t>
  </si>
  <si>
    <t>Santos</t>
  </si>
  <si>
    <t>Victor</t>
  </si>
  <si>
    <t>Co-Founder &amp; Chief Executive Officer &amp; Board Member</t>
  </si>
  <si>
    <t>Airfox</t>
  </si>
  <si>
    <t>victor@airfox.com</t>
  </si>
  <si>
    <t>New Castle, DE</t>
  </si>
  <si>
    <t>Logradouro 2711 Centerville Road</t>
  </si>
  <si>
    <t>Suite 400</t>
  </si>
  <si>
    <t>New Castle</t>
  </si>
  <si>
    <t>Delaware</t>
  </si>
  <si>
    <t>19808</t>
  </si>
  <si>
    <t>Mr. Victor Santos is a Co-Founder and serves as Chief Executive Officer at AirFox. He is also a Board of Director at AirFox. He also serves as the President, Chief Executive Officer and Board Member at Carriereq. He serves as Venture Scout at One Way Ventures. Victor is an ex-Googler, UC Berkeley alum, and telecom entrepreneur. He began working with VoIP at iWorldServices, opening their LatAM division, then co-founded Ciao Telecom where he launched a platform for VoIP entrepreneurs and an advertising-based mobile virtual network operator (MVNO). After growing Ciao Telecom to double digits million in revenue, he joined Google working on product and marketing for AdWords agencies program. He holds a BS in Business Administration from University of California, Berkeley.</t>
  </si>
  <si>
    <t>177592-33P</t>
  </si>
  <si>
    <t>Vivian Chu Ph.D</t>
  </si>
  <si>
    <t>Chu</t>
  </si>
  <si>
    <t>Vivian</t>
  </si>
  <si>
    <t>Co-Founder &amp; Chief Technology Officer</t>
  </si>
  <si>
    <t>Diligent Robotics</t>
  </si>
  <si>
    <t>vchu@diligentrobots.com</t>
  </si>
  <si>
    <t>1300 Guadalupe Street</t>
  </si>
  <si>
    <t>Suite 302</t>
  </si>
  <si>
    <t>Ms. Vivian Chu is a Co-Founder &amp; serves as Chief Technology Officer at Diligent Droids. Vivian is a 10+ year expert roboticist that specializes in human-robot interaction and has received high tier industry recognition including: being honored as a Google Anita Borg Memorial Scholar, honored as a Stanford EECS Rising Star, awarded Best Cognitive Robotics Paper Award at IRCA 2013 and featured on Robohub 25 women in robotics you need to know in 2016 list. In addition to creating Moxi and Poli, Vivian has used her HRI and machine learning expertise on other robotic platforms including PR2, Meka Robot and Kinova Jaco2. She has also worked at Google[X], Honda Research Institute and at IBM Research in Almaden (where she worked on natural language processing and intelligent information integration). Vivian completed her Ph.D. in Robotics at Georgia Tech where she was co-advised by her now co-founder, Dr. Andrea Thomaz (Socially Intelligent Machines Lab), along with Dr. Sonia Chernova (Robot Autonomy and Interactive Learning Lab). Vivian received her M.S.E. in Robotics from the University of Pennsylvania in 2013, where she worked in Dr. Katherine J. Kuchenbecker Haptics Research Group in the GRASP Lab. She received her B.S. degree in Electrical Engineering and Computer Science from the University of California, Berkeley in 2009.</t>
  </si>
  <si>
    <t>91722-16P</t>
  </si>
  <si>
    <t>Yat-Pang Au</t>
  </si>
  <si>
    <t>Au</t>
  </si>
  <si>
    <t>Yat-Pang</t>
  </si>
  <si>
    <t>Veritas (Buildings and Property)</t>
  </si>
  <si>
    <t>+1 (415) 578-7610</t>
  </si>
  <si>
    <t>yau@veritasinvestments.com</t>
  </si>
  <si>
    <t>One Bush Street</t>
  </si>
  <si>
    <t>Suite 900</t>
  </si>
  <si>
    <t>Mr. Yat-Pang Au is the Founder of Veritas and serves as its Chief Executive Officer. Prior to founding Veritas, Au was also a Chief Executive Officer of AEC Alarms and held executive positions at several technology firms. Mr. Au has led Veritas Investments since founding the company in 2007. He is responsible for the operations of the company and its subsidiaries. Prior to founding Veritas, he was CEO of AEC Alarms and held executive positions at several technology firms. He is an active member of the Coalition for Better Housing, San Francisco Apartment Association, Bay Area Council, and the National Multi-Housing Council. He was named Multifamily Executive Magazine (MFE)'s 2017 Executive of the Year and received the 2018 Spirit of Life Award for philanthropy and community service by the Real Estate Committee of the City of Hope cancer research hospital. He has been to Harvard Business School for MBA, Carnegie Mellon for MS in Information Networking, UC Berkeley for BS in Mechanical Engineering &amp; Computer Science</t>
  </si>
  <si>
    <t>58101-49P</t>
  </si>
  <si>
    <t>Adam Harris</t>
  </si>
  <si>
    <t>Cloudbeds</t>
  </si>
  <si>
    <t>adam.harris@cloudbeds.com</t>
  </si>
  <si>
    <t>2655 4th Avenue</t>
  </si>
  <si>
    <t>92103</t>
  </si>
  <si>
    <t>Mr. Adam Harris is a Co-Founder and serves as Chief Executive Officer, President &amp; Board Member at Cloudbeds. He also serves as a Board Member at San Diego Venture Group. He was a Co-Founder of TicketSocket. He has completed his BA degree in Economics from the University of California, Berkeley in 2004.</t>
  </si>
  <si>
    <t>98922-97P</t>
  </si>
  <si>
    <t>Adam Park</t>
  </si>
  <si>
    <t>Park</t>
  </si>
  <si>
    <t>Beyond 12</t>
  </si>
  <si>
    <t>+1 (866) 699-7070</t>
  </si>
  <si>
    <t>park@targetx.com</t>
  </si>
  <si>
    <t>901 Mission Street</t>
  </si>
  <si>
    <t>Suite 205</t>
  </si>
  <si>
    <t>+1 (415) 762-5305</t>
  </si>
  <si>
    <t>Mr. Adam Park is a Co-Founder and serves as Board Member at Beyond 12. He serves as Chief Revenue Officer at TargetX. He brings extensive leadership experience at both early-stage and mature technology companies. Prior to Exponent Partners, he was the President and Chief Operating Officer of Beyond 12, a national nonprofit organization that provides technology solutions to help underserved students succeed in college. Previously, he served as President and a Board Member of Embark, a leading provider of cloud business solutions for university admissions offices, and the VP of Operations at The Princeton Review, where he led the operations of all business lines within the Admissions Services Division. he received his bachelor's degree in mass communications with highest honors from the University of California, Berkeley and his master's in management from the Stanford Graduate School of Business.</t>
  </si>
  <si>
    <t>133771-69P</t>
  </si>
  <si>
    <t>Adam Smithline</t>
  </si>
  <si>
    <t>Smithline</t>
  </si>
  <si>
    <t>Wayzn</t>
  </si>
  <si>
    <t>+1 (408) 372-8502</t>
  </si>
  <si>
    <t>adam@wayzn.com</t>
  </si>
  <si>
    <t>1669 Hollenbeck Avenue</t>
  </si>
  <si>
    <t>Suite 2-273</t>
  </si>
  <si>
    <t>94087</t>
  </si>
  <si>
    <t>Mr. Adam Smithline is a Co-Founder and serves as Board Member at Wayzn.</t>
  </si>
  <si>
    <t>48034-81P</t>
  </si>
  <si>
    <t>Ajay Kapur</t>
  </si>
  <si>
    <t>Kapur</t>
  </si>
  <si>
    <t>Ajay</t>
  </si>
  <si>
    <t>Moovweb</t>
  </si>
  <si>
    <t>+1 (877) 666-8932</t>
  </si>
  <si>
    <t>ajay@moovweb.com</t>
  </si>
  <si>
    <t>340 Pine Street</t>
  </si>
  <si>
    <t>Mr. Ajay Kapur is a Co-Founder and serves as Chief Executive Officer at Moovweb. He also is an Angel Investor. Ajay has been involved with mobile since 2002, when he left his job investing in startups to write apps for the first smartphones. The mobile companies he founded have created apps downloaded by tens of millions of users and have generated billions of page views. He grew up in SF Bay Area and earned an MBA from Stanford and bachelor's degrees in physics and CS from UC Berkeley.</t>
  </si>
  <si>
    <t>38957-95P</t>
  </si>
  <si>
    <t>Alan Nelson Ph.D</t>
  </si>
  <si>
    <t>Nelson</t>
  </si>
  <si>
    <t>VisionGate</t>
  </si>
  <si>
    <t>+1 (602) 617-1237</t>
  </si>
  <si>
    <t>nelson@visiongate3d.com</t>
  </si>
  <si>
    <t>Phoenix, AZ</t>
  </si>
  <si>
    <t>10220 South 51st Street</t>
  </si>
  <si>
    <t>Suite 2</t>
  </si>
  <si>
    <t>Phoenix</t>
  </si>
  <si>
    <t>85044</t>
  </si>
  <si>
    <t>Dr. Alan Nelson is the Founder and serves as Chief Executive Officer, Chairman and Board Member at VisionGate. He is a Co-Founder and serves as Chairman at Nortis. Dr. Alan Nelson is a co-founder of Nortis and serves as its Chairman. Dr. Nelson, prior Executive Director, The Biodesign Institute at Arizona State University, is now leading the Predictive Health Analytics Initiative (PHAIT3). Dr. Nelson has also been appointed in two faculty positions; Professor of Bioengineering and Professor of Physics at Arizona State University. Prior to VisionGate, Dr. Nelson was the founder, President and CEO of NeoPath where he developed the world's first automated cytology platform. Neopath won landmark FDA approval in 1995 and introduced the AutoPap, a fully automated instrument for primary screening of Pap smears. After a successful Initial Public Offering in 1996, Neopath was sold to Becton Dickinson in 2000. Before coming to ASU, Dr. Nelson was also a tenured Associate Professor and Director of the Center for Imaging Systems Optimization and the Medical Imaging Graduate Program at the University of Washington.</t>
  </si>
  <si>
    <t>92306-35P</t>
  </si>
  <si>
    <t>Alex Dalessio JD</t>
  </si>
  <si>
    <t>Dalessio</t>
  </si>
  <si>
    <t>Alex</t>
  </si>
  <si>
    <t>Isabel</t>
  </si>
  <si>
    <t>dalessio@gmail.com</t>
  </si>
  <si>
    <t>600 California Avenue</t>
  </si>
  <si>
    <t>94130</t>
  </si>
  <si>
    <t>Mr. Alex Dalessio is a Co-Founder of Isabel. Mr. Dalessio is a Co-Founder of City Farm Fish and serves as its Head, Business Development. He received his JD from UC Berkeley his MBA from Oxford University.</t>
  </si>
  <si>
    <t>84086-92P</t>
  </si>
  <si>
    <t>Alex Mann</t>
  </si>
  <si>
    <t>Mann</t>
  </si>
  <si>
    <t>ClickTime</t>
  </si>
  <si>
    <t>+1 (415) 684-1180</t>
  </si>
  <si>
    <t>amann@clicktime.com</t>
  </si>
  <si>
    <t>282 Second Street, 4th Floor</t>
  </si>
  <si>
    <t>+1 (415) 684-1099</t>
  </si>
  <si>
    <t>Mr. Alex Mann is a Co-Founder and serves as Chief Executive Officer at ClickTime. He serves as Board Member at Basis Technology.</t>
  </si>
  <si>
    <t>86572-00P</t>
  </si>
  <si>
    <t>Alexandra McManus</t>
  </si>
  <si>
    <t>McManus</t>
  </si>
  <si>
    <t>Alexandra</t>
  </si>
  <si>
    <t>Eyrus</t>
  </si>
  <si>
    <t>+1 (202) 655-2660</t>
  </si>
  <si>
    <t>alex@eyrus.com</t>
  </si>
  <si>
    <t>Washington, DC</t>
  </si>
  <si>
    <t>2101 L Street Northwest</t>
  </si>
  <si>
    <t>District of Columbia</t>
  </si>
  <si>
    <t>20037</t>
  </si>
  <si>
    <t>Ms. Alexandra McManus is a Co-Founder and serves as Chief Executive Officer at Eyrus. Alex brings over 20 years of professional experience in the construction technology space with business development, creating new markets, revenue growth, operations, and leadership. She provides a constant stream of vision and intuition for Eyrus and motivates the entire team.</t>
  </si>
  <si>
    <t>123998-14P</t>
  </si>
  <si>
    <t>Ali Ghodsi Ph.D</t>
  </si>
  <si>
    <t>Ghodsi</t>
  </si>
  <si>
    <t>Ali</t>
  </si>
  <si>
    <t>ali@databricks.com</t>
  </si>
  <si>
    <t>Dr. Ali Ghodsi is a Co-Founder &amp; serves as Chief Executive Officer and Board Member at Databricks. He previously served as the Vice President of Engineering and Product Management at Databricks before taking the role of Chief Executive Officer in January 2016. In addition to his work at Databricks, he serves as an Adjunct Professor at UC Berkeley. He is a Board Member at RiseLabs. He was one of the creators of the open-source project, Apache Spark. He received his MBA from Mid-Sweden University in 2003 and a Ph.D. in Computer Science from KTH/Royal Institute of Technology in Sweden in 2006.</t>
  </si>
  <si>
    <t>180938-26P</t>
  </si>
  <si>
    <t>Amaresh Kollipara</t>
  </si>
  <si>
    <t>Kollipara</t>
  </si>
  <si>
    <t>Amaresh</t>
  </si>
  <si>
    <t>Co-Founder, Chief Executive Officer &amp; Managing Partner</t>
  </si>
  <si>
    <t>Earth2Orbit Analytix</t>
  </si>
  <si>
    <t>Bangalore, India</t>
  </si>
  <si>
    <t>Bangalore</t>
  </si>
  <si>
    <t>Mr. Amaresh Kollipara is a Co-Founder and serves as Chief Executive Officer &amp; Managing Partner at Earth2Orbit Analytix. Mr. Amaresh Kollipara serves as Chief Revenue Officer at Offworld. His involvement with E2O and the larger new space industry is fueled by his fascination with space. He believes that involvement from the entrepreneurial sector, via emerging applications such as small satellite-derived applications and microgravity based R&amp;D, is an essential enabler for continued understanding and exploration of space. To this end, he serves as a management consultant and financial advisor to a generation of space entrepreneurs by helping them develop viable businesses and navigate the world of venture finance. He currently serves as a Principal of the Space Angels Network, a professionally managed global network of seed- and early-stage investors focused on space-related startups. He often speaks at aerospace and entrepreneurial conferences on topics related to the business and economics of the commercial space industry. He serves as a judge and advisor to business plan competitions aimed at fostering a more vibrant start-up sector in the space industry. In addition, he serves as a strategic advisor to C-level executives in the financial services, healthcare and software industries. Prior to his entrepreneurial endeavors, he enjoyed a successful career with the Strategy group of Accenture, where he managed key Internet strategy offerings and developed strategic recommendations for Global 500 clients such as Cisco, HP and Siemens. His diverse background also includes roles as a biotechnology researcher, planetarium presenter and physics teacher. His professional experience extends to international locations such as Argentina, England, India, Japan and Mexico. He holds an MBA degree from the Graduate School of Business at Columbia University. He also earned a B.A. in Molecular and Cell Biology with an emphasis in Neurobiology from the University of California at Berkeley.</t>
  </si>
  <si>
    <t>12806-38P</t>
  </si>
  <si>
    <t>Amnon Yariv Ph.D</t>
  </si>
  <si>
    <t>Yariv</t>
  </si>
  <si>
    <t>Amnon</t>
  </si>
  <si>
    <t>Arcturus Capital</t>
  </si>
  <si>
    <t>+1 (626) 578-5700</t>
  </si>
  <si>
    <t>Pasadena, CA</t>
  </si>
  <si>
    <t>199 South Los Robles Avenue</t>
  </si>
  <si>
    <t>Suite 535</t>
  </si>
  <si>
    <t>Pasadena</t>
  </si>
  <si>
    <t>91101</t>
  </si>
  <si>
    <t>+1 (626) 578-5710</t>
  </si>
  <si>
    <t>Dr. Amnon Yariv serves as Venture Partner at Arcturus Capital. He is a Co-Founder and serves as Board Member at Telescent. He is the Martin and Eileen Summerfield Professor of Applied Physics and Electrical Engineering at Caltech. He obtained the B.S. (1954), M.S. (1956) and Ph.D. (1958) in electrical engineering from the University of California at Berkeley. He went to the Bell Telephone Laboratories, Murray Hill, New Jersey in 1959, joining the early stages of the laser effort. He came to the California Institute of Technology in 1964. On the technical and scientific side, he took part (with various co-workers) in the discovery of a number of early solid state laser systems, in proposing and demonstrating the field of semiconductor integrated optics, the suggestion and demonstration of the semiconductor distributed feedback laser and in co-pioneering the field of phase conjugate optics. His present research efforts are in the areas of nonlinear optics, semiconductor lasers and integrated optics with emphasis on communication and computation. The highlight of his group's work was the invention of the semiconductor distributed feedback laser, a device widely used in the Internet's fiber-optic communications. Prof. Yariv co-founded Ortel Corp. (formerly Nasdaq: ORTL), which was subsequently acquired by Lucent for ~$3B.</t>
  </si>
  <si>
    <t>151197-22P</t>
  </si>
  <si>
    <t>Anatalio Ubalde</t>
  </si>
  <si>
    <t>Ubalde</t>
  </si>
  <si>
    <t>Anatalio</t>
  </si>
  <si>
    <t>Co-Founder and Co-Chief Executive Officer</t>
  </si>
  <si>
    <t>GIS Planning</t>
  </si>
  <si>
    <t>+1 (415) 294-4775</t>
  </si>
  <si>
    <t>ubalde@gisplanning.com</t>
  </si>
  <si>
    <t>One Hallidie Plaza</t>
  </si>
  <si>
    <t>Suite 760</t>
  </si>
  <si>
    <t>94102</t>
  </si>
  <si>
    <t>+1 (415) 294-4770</t>
  </si>
  <si>
    <t>Mr. Anatalio Ubalde is a Co-Founder and serves as a Co-Chief Executive Officer at GIS Planning. He is a Co-Founder at SizeUp and also serves as its Chief Executive Officer. Anatalio is an experienced executive leading Software as a Service ventures. At SizeUp, he is responsible for leading product, strategy, and growth. Along with gaining globally recognized corporate customers, his team has quickly established SizeUp as a leading Fintech startup, earning international attention as a finalist for the SWIFT Sibos fintech innovation challenge, TechCrunch Disrupt Battlefield finalist, winning startup at the Future of Money and Technology Summit, winner of the Innotribe Startups Showcase, USA Department of Commerce 1st place business app to help businesses and grow jobs (jury of Sheryl Sandberg, Vint Cerf, Tim O'Reilly), and a perfect score from BankNXT. He has spoken at the G20 Summit SME Finance Forum, Latin America FINPYME, Finovate, MoneyConf, and many other Fintech events. Previously he co-founded GIS Planning Inc., the SaaS leader in online economic development solutions and its service ZoomProspector.com, a corporate real estate and site selection analysis platform. It made the Inc. 5000 list of fastest growing private companies 5 years in a row. The New York Times recognized ZoomProspector.com, along with Google and Yelp, as one of the "basics of starting a business" for market analysis. His work has been featured in The Wall Street Journal, Bloomberg BusinessWeek, MSNBC, Forbes, Fortune, and Entrepreneur. He has a Master's degree in City Planning from U.C. Berkeley.</t>
  </si>
  <si>
    <t>55146-70P</t>
  </si>
  <si>
    <t>Andreas Schmidt Ph.D</t>
  </si>
  <si>
    <t>Schmidt</t>
  </si>
  <si>
    <t>Andreas</t>
  </si>
  <si>
    <t>Proteona</t>
  </si>
  <si>
    <t>Singapore, Singapore</t>
  </si>
  <si>
    <t>2 Jurong East Street 21</t>
  </si>
  <si>
    <t>Suite 04-20</t>
  </si>
  <si>
    <t>Singapore</t>
  </si>
  <si>
    <t>609601</t>
  </si>
  <si>
    <t>Dr. Andreas Schmidt serves as Chief Executive Officer at Proteona. Dr. Andreas Schmidt is a Co-Founder of AyoxxA and also serves as its Board Member. While obtaining a PhD in molecular and cell biology jointly from the University of Cologne and the University of California, Berkeley, Dr. Andreas Schmidt received several prestigious fellowships and awards in the USA, Germany, China, Taiwan and Singapore. He served on the advisory board of the German Academic International Network (GAIN) heading the Transatlantic Entrepreneurship Network (TEN) and was nominated by the newspaper "Die Zeit" as one of the Top5 "Young researchers of the year 2010" in Germany.</t>
  </si>
  <si>
    <t>36539-11P</t>
  </si>
  <si>
    <t>Andrew Laffoon</t>
  </si>
  <si>
    <t>Laffoon</t>
  </si>
  <si>
    <t>Mixbook</t>
  </si>
  <si>
    <t>+1 (408) 955-9151</t>
  </si>
  <si>
    <t>andrew@mixbook.com</t>
  </si>
  <si>
    <t>Mr. Andrew Laffoon is a Co-Founder and serves as Chief Executive Officer at Mixbook.</t>
  </si>
  <si>
    <t>158695-66P</t>
  </si>
  <si>
    <t>Armand Paul Alivisatos Ph.D</t>
  </si>
  <si>
    <t>Alivisatos</t>
  </si>
  <si>
    <t>Armand Paul</t>
  </si>
  <si>
    <t>Scientific Founder</t>
  </si>
  <si>
    <t>Nanosys</t>
  </si>
  <si>
    <t>+1 (510) 643-7371</t>
  </si>
  <si>
    <t>Milpitas, CA</t>
  </si>
  <si>
    <t>233 South Hillview Drive</t>
  </si>
  <si>
    <t>Milpitas</t>
  </si>
  <si>
    <t>95035</t>
  </si>
  <si>
    <t>+1 (510) 642-6911</t>
  </si>
  <si>
    <t>Dr. Armand Paul Alivisatos serves as Scientific Founder at Nanosys. He is a Co-Founder of Siva Power. Dr. Alivisatos served as Vice Chancellor for Research at Skydeck | Berkeley. Groundbreaking contributions to the fundamental physical chemistry of nanocrystals are the hallmarks of Dr. Alivisatos' distinguished career. His research accomplishments include studies of the scaling laws governing the optical, electrical, structural, and thermodynamic properties of nanocrystals. He developed methods to synthesize size and shape controlled nanocrystals, and developed methods for preparing branched, hollow, nested, and segmented nanocrystals. In his research, he has demonstrated key applications of nanocrystals in biological imaging and renewable energy. He played a critical role in the establishment of the Molecular Foundry, a U.S. Department of Energy's Nanoscale Science Research Center; and was the facility's founding director. He is the founding editor of Nano Letters, a leading scientific publication of the American Chemical Society in nanoscience. Dr. Alivisatos has been recognized for his accomplishments, with awards such as the Dan David Prize, the National Medal of Science, the Spiers Memorial Award, Axion Award, Wolf Prize in Chemistry, the Von Hippel Award, the Linus Pauling Medal, Computation and Engineering's Nanoscience Prize, the Ernest Orlando Lawrence Award, the Rank Prize for Optoelectronics, the Eni Award for Energy and Environment, Colloid and Surface Chemistry Award, Coblentz Award for Molecular Spectroscopy and the Thomas Wilson Memorial Prize. He is a member of the National Academy of Sciences, the American Academy of Arts and Sciences and the American Philosophical Society. Dr. Alivisatos received a Bachelor's degree in Chemistry in 1981 from the University of Chicago and Ph.D. in Chemistry from UC Berkeley in 1986.</t>
  </si>
  <si>
    <t>124000-84P</t>
  </si>
  <si>
    <t>Arsalan Tavakoli-Shiraji</t>
  </si>
  <si>
    <t>Tavakoli-Shiraji</t>
  </si>
  <si>
    <t>Arsalan</t>
  </si>
  <si>
    <t>Co-Founder &amp; Senior Vice President of Field Engineering</t>
  </si>
  <si>
    <t>arsalan@databricks.com</t>
  </si>
  <si>
    <t>Dr. Arsalan Tavakoli-Shiraji is a Co-Founder &amp; serves as Senior Vice President of Field Engineering at Databricks. He also serves as Advisor at Blue {Seed} Collective. Arsalan leads business development for Databricks where he oversees strategic partnerships and ecosystem development and even writes code. Prior to Databricks, he was an Associate Partner at McKinsey and holds a a PhD in Computer Science from UC Berkeley.</t>
  </si>
  <si>
    <t>65588-95P</t>
  </si>
  <si>
    <t>Assaf Resnick</t>
  </si>
  <si>
    <t>Resnick</t>
  </si>
  <si>
    <t>Assaf</t>
  </si>
  <si>
    <t>BigPanda</t>
  </si>
  <si>
    <t>+1 (650) 562-6555</t>
  </si>
  <si>
    <t>assaf@bigpanda.io</t>
  </si>
  <si>
    <t>Mountain View, CA</t>
  </si>
  <si>
    <t>888 Villa Street</t>
  </si>
  <si>
    <t>Mountain View</t>
  </si>
  <si>
    <t>94041</t>
  </si>
  <si>
    <t>Mr. Assaf Resnick is a Co-Founder and serves as Chief Executive Officer &amp; Board Member at BigPanda. He was the Principal at Sequoia Capital. He also serves as an Investment Committee Member at J-Angels Investment Group.</t>
  </si>
  <si>
    <t>37292-59P</t>
  </si>
  <si>
    <t>Bala Vishwanath</t>
  </si>
  <si>
    <t>Vishwanath</t>
  </si>
  <si>
    <t>Bala</t>
  </si>
  <si>
    <t>mondCloud</t>
  </si>
  <si>
    <t>+1 (844) 296-1563</t>
  </si>
  <si>
    <t>Boston, MA</t>
  </si>
  <si>
    <t>8 Faneuil Hall Marketplace</t>
  </si>
  <si>
    <t>Boston</t>
  </si>
  <si>
    <t>02109</t>
  </si>
  <si>
    <t>Mr. Bala Vishwanath is the Founder of mondCloud and also serves as its Chief Executive Officer. He is President and Chief Marketing Officer at Nimbic. Mr. Vishwanath came to Nimbic with over 18 years of experience in high-technology EDA companies ranging from start-ups such as Epic Design Technology to public corporations such as Synopsys. He was the Founder as well as President of Smarte. Previously, Mr. Vishwanath had worked as a Design Engineer at Cirrus Logic and Crystal Semiconductor. Mr. Vishwanath has an MS Electrical Engineering from the University of Hawaii, Manoa, BS Electrical Engineering from Birla Institute of Technology &amp; Science, Pilani, India and engineering certificate degree from the University of California, Berkeley.</t>
  </si>
  <si>
    <t>59803-93P</t>
  </si>
  <si>
    <t>Bauback Safa MD</t>
  </si>
  <si>
    <t>Safa</t>
  </si>
  <si>
    <t>Bauback</t>
  </si>
  <si>
    <t>Co-Founder &amp; Chief Medical Officer</t>
  </si>
  <si>
    <t>Mozart.MD</t>
  </si>
  <si>
    <t>bsafa@mozart.md</t>
  </si>
  <si>
    <t>Post Office Box 624</t>
  </si>
  <si>
    <t>94042</t>
  </si>
  <si>
    <t>Dr. Bauback Safa Co-Founder of Mozart.MD and serves as its Chief Medical Officer. Dr. Bauback Safa also serves as Chief Medical Officer at Zipline Medical. He is a plastic, reconstructive, hand, and microvascular surgeon at The Buncke Clinic in San Francisco, CA. Dr. Safa serves as Adjunct Clinical Faculty at Stanford University School of Medicine and University of California San Francisco Medical Center. He is also on the editorial board for Microsurgery and is a reviewer for The Annals of Plastic Surgery. In addition to serving as Chief Medical Officer for ZipLine, Dr. Safa also serves as a medical consultant for several medical device and Healthcare 2.0 start-up companies in the San Francisco Bay Area. He was a co-founder and Chief Medical Officer for Vascular Precision, Inc. and holds several patents for medical devices. Dr. Safa graduated with distinction from the University of Virginia, received his M.D. from the Stanford University School of Medicine, and his MBA from the University of California Berkeley, Haas School of Business, where he was a Haas Venture Fellow. He completed his residency in plastic and reconstructive surgery at Stanford University Medical Center and completed a fellowship in reconstructive microvascular and hand surgery at The Buncke Clinic in San Francisco where he is currently a staff surgeon.</t>
  </si>
  <si>
    <t>84149-92P</t>
  </si>
  <si>
    <t>Benjamin Kanner</t>
  </si>
  <si>
    <t>Kanner</t>
  </si>
  <si>
    <t>Benjamin</t>
  </si>
  <si>
    <t>Worklete</t>
  </si>
  <si>
    <t>+1 (415) 518-4973</t>
  </si>
  <si>
    <t>bkanner@worklete.com</t>
  </si>
  <si>
    <t>1423 Broadway</t>
  </si>
  <si>
    <t>Suite 134</t>
  </si>
  <si>
    <t>Mr. Benjamin Kanner is a Co-Founder and serves as Chief Executive Officer &amp; Board Member at Worklete. Previously he served as Partner and Training Specialist at the company. He is also a Co-Founder of Innovative Hospitality. He has diverse business background and acumen to this exceptional team. Most recently, Ben worked at Rabobank on their Renewable Energy and Infrastructure team, after working for a number of years at RREEF (Deutsche Bank Alternative Investments). He has also held a variety of positions in several early stage startup ventures and interned in venture capital. Ben holds an MBA from Columbia Business School, as well as a BA from the University of California, Berkeley, where he graduated with distinction (cum laude), was a member of the Phi Beta Kappa honor society and played varsity rugby.</t>
  </si>
  <si>
    <t>40608-28P</t>
  </si>
  <si>
    <t>Brett Cravatt JD</t>
  </si>
  <si>
    <t>Cravatt</t>
  </si>
  <si>
    <t>Brett</t>
  </si>
  <si>
    <t>Centerfield Media Holdings</t>
  </si>
  <si>
    <t>bcravatt@centerfield.com</t>
  </si>
  <si>
    <t>El Segundo, CA</t>
  </si>
  <si>
    <t>855 North Douglas Street</t>
  </si>
  <si>
    <t>El Segundo</t>
  </si>
  <si>
    <t>90245</t>
  </si>
  <si>
    <t>+1 (310) 640-9135</t>
  </si>
  <si>
    <t>Mr. Brett Cravatt is the Co-Founder &amp; serves as Co-Chief Executive Officer at Centerfield Media Holdings. He also serves as Venture Advisor and Venture Partner at Crosscut Ventures. Brett Cravatt is a seasoned entrepreneur and executive in the digital advertising sector. Brett co-founded Centerfield in 2011. Prior to Centerfield, Brett founded and worked as the CEO of WebYES! During this same time period, Mr. Cravatt co-founded Achieve Financial Services, one of the fastest growing GPR debit card businesses in the prepaid industry, which was recently acquired by GreenDot (NASD: GDOT). From 2001-2006, Mr. Cravatt served as the COO of Vendare Media guiding the business from 10mm in annual revenue to over 120mm in annual revenue and 20mm in EBITDA. Brett has also served on various Boards including Interclick (NASD: ICLK), which was successfully acquired by Yahoo! in 2012. Brett holds a Bachelor's degree in Political Science from U.C. Berkeley and a J.D. from Stanford Law School.</t>
  </si>
  <si>
    <t>141608-44P</t>
  </si>
  <si>
    <t>Brian Otis Ph.D</t>
  </si>
  <si>
    <t>Otis</t>
  </si>
  <si>
    <t>Brian</t>
  </si>
  <si>
    <t>Co-Founder &amp; Fellow</t>
  </si>
  <si>
    <t>Verily Life Sciences</t>
  </si>
  <si>
    <t>269 East Grand Avenue</t>
  </si>
  <si>
    <t>Dr. Brian Otis is a Co-Founder and serves as Fellow at Verily Life Sciences. He served as Chief Technical Officer at Verily Life Sciences. As a Fellow at Verily, he pushes the frontier of medical device innovation, leading the company's discovery and rapid prototyping efforts. He joined Verily from the University of Washington Department of Electrical Engineering where he was an Associate Professor. Previously, he held positions at the University of Washington Kelly Tremblay Brain and Behavior Laboratory, the UC-Berkeley Ralph Freeman Neuroscience Lab, The Berkeley Wireless Research Center, Intel Corporation and Agilent Laboratories. He received his MS and Ph.D. in Electrical engineering in the field of low power integrated circuits for wireless sensors from the University of California, Berkeley.</t>
  </si>
  <si>
    <t>43908-76P</t>
  </si>
  <si>
    <t>Brian Smith Ph.D</t>
  </si>
  <si>
    <t>Smith</t>
  </si>
  <si>
    <t>Co-Founder, Board Member &amp; Chief Technology Officer</t>
  </si>
  <si>
    <t>SPYDERBAT</t>
  </si>
  <si>
    <t>+1 (512) 656-4383</t>
  </si>
  <si>
    <t>brian.smith@spyderbat.com</t>
  </si>
  <si>
    <t>7301 North</t>
  </si>
  <si>
    <t>FM 620 Road</t>
  </si>
  <si>
    <t>78726</t>
  </si>
  <si>
    <t>Mr. Brian Smith is a Co-Founder and serves as Board Member &amp; Chief Technology Officer at SPYDERBAT. He is the Founder &amp; serves as Chief Technology Officer at Click Security. He co-founded TippingPoint Technologies in 2001. He was TippingPoint's Chief Architect from 2001-2009 and CTO in 2009. While at TippingPoint he helped establish the company as the premier vendor of intrusion prevention system (IPS) solutions. Prior to TippingPoint, Smith received his Ph.D. in Computer Science from the University of California at Berkeley and was the Xerox Professor of Computer Science at Cornell University until 1998. He holds 12 patents and is a fellow of the Alfred P. Sloan Foundation.</t>
  </si>
  <si>
    <t>139907-17P</t>
  </si>
  <si>
    <t>Bruce Methven JD</t>
  </si>
  <si>
    <t>Methven</t>
  </si>
  <si>
    <t>Bruce</t>
  </si>
  <si>
    <t>Co-Founder &amp; Outside Legal Counsel</t>
  </si>
  <si>
    <t>Jilcat Industrial Marketing Group</t>
  </si>
  <si>
    <t>+1 (916) 822-7116</t>
  </si>
  <si>
    <t>bruce.methven@jilcatproline.com</t>
  </si>
  <si>
    <t>2905 Lake East Drive</t>
  </si>
  <si>
    <t>89117</t>
  </si>
  <si>
    <t>Mr. Bruce Methven is a Co-Founder and serves as Outside Legal Counsel at Jilcat Industrial Marketing Group. He is the Founder and serves as Attorney and Owner at Methven &amp; Associates. His practice areas are Corporations and partnerships, leases, contracts, intellectual property, international business, real estate, litigation.</t>
  </si>
  <si>
    <t>115014-43P</t>
  </si>
  <si>
    <t>C.Jerry Rendic</t>
  </si>
  <si>
    <t>Rendic</t>
  </si>
  <si>
    <t>C.Jerry</t>
  </si>
  <si>
    <t>Parallel Advisors</t>
  </si>
  <si>
    <t>+1 (866) 627-6984</t>
  </si>
  <si>
    <t>cj.rendic@paralleladvisors.com</t>
  </si>
  <si>
    <t>Suite 950</t>
  </si>
  <si>
    <t>+1 (415) 520-9659</t>
  </si>
  <si>
    <t>Mr. C.Jerry Rendic is the Chief Executive Officer &amp; Founder of Parallel Advisors. Mr. Rendic started his financial services career in 1992 and founded Parallel Advisors in 2006 with the vision of creating a collaborative and innovative private wealth management firm that provides superior investment and financial planning services to individuals, families, and institutions.</t>
  </si>
  <si>
    <t>128769-31P</t>
  </si>
  <si>
    <t>Camille LeBlanc</t>
  </si>
  <si>
    <t>LeBlanc</t>
  </si>
  <si>
    <t>Camille</t>
  </si>
  <si>
    <t>Strategic Advisor</t>
  </si>
  <si>
    <t>Four Twenty Seven</t>
  </si>
  <si>
    <t>+1 (415) 930-9090</t>
  </si>
  <si>
    <t>2000 Hearst Avenue</t>
  </si>
  <si>
    <t>Suite 304</t>
  </si>
  <si>
    <t>Ms. Camille LeBlanc serves as Chief Strategy Officer at Four Twenty Seven. Ms. Camille LeBlanc is the Co-Founder of Roubini Global Economics and also serves as its Board Member.</t>
  </si>
  <si>
    <t>145068-49P</t>
  </si>
  <si>
    <t>Carlito Lebrilla Ph.D</t>
  </si>
  <si>
    <t>Lebrilla</t>
  </si>
  <si>
    <t>Carlito</t>
  </si>
  <si>
    <t>Scientific Co-Founder &amp; Member of Scientific Advisory Board</t>
  </si>
  <si>
    <t>InterVenn</t>
  </si>
  <si>
    <t>+1 (888) 706-1670</t>
  </si>
  <si>
    <t>carlito@glycoprox.com</t>
  </si>
  <si>
    <t>2 Tower Place</t>
  </si>
  <si>
    <t>Dr. Carlito Lebrilla is a Scientific Co-Founder and serves as Member of Scientific Advisory Board at InterVenn. He is a Co-Founder of BCD Bioscience and also serves as its Board Member. He co-founded Evolve BioSystems. His research is in Analytical Chemistry, primarily mass spectrometry with applications to clinical glycomics and biofunctional food. He has over 320 peer-reviewed publications. He is also co-editor of Mass Spectrometry Reviews and has been on the editorial board of Molecular and Cellular Proteomics, Mass Spectrometry Reviews, Journal of American Society for Mass Spectrometry, European Mass Spectrometry, and International Journal of Mass Spectrometry. He received his BS degree from the University of California, Irvine and Ph.D. from the University of California, Berkeley. He was an Alexander von Humboldt Fellow and a NSF-NATO Fellow at the Technical University in Berlin. He returned to the UC Irvine as a President's Fellow and has been at UC Davis since 1989.</t>
  </si>
  <si>
    <t>73930-96P</t>
  </si>
  <si>
    <t>Carlos Rodarte</t>
  </si>
  <si>
    <t>Rodarte</t>
  </si>
  <si>
    <t>Carlos</t>
  </si>
  <si>
    <t>Founder &amp; Manager</t>
  </si>
  <si>
    <t>Volar Health</t>
  </si>
  <si>
    <t>carlos@volarhealth.com</t>
  </si>
  <si>
    <t>45 Prospect Avenue</t>
  </si>
  <si>
    <t>02139</t>
  </si>
  <si>
    <t>Mr. Carlos Rodarte is the Founder of Volar Health and also serves as its Manager. He is a Co-Founder at HealthRhythms. He served as Director, Business Development at PatientsLikeMe. Prior to joining PatientsLikeMe, Carlos was a life sciences industry consultant at Frankel Group in their New York office. His experience spans several therapeutic areas including rheumatology, diabetes/metabolics, oncology, dermatology, CNS, respiratory and pain. Carlos' experience as an industry consultant culminated in over 40 engagements involving business plan development, R&amp;D portfolio planning, competitive market assessments, commercialization strategies, LM&amp;A due diligence, and forecast / valuation modeling. Client base was diverse and included global pharmaceutical and biotechnology companies, as well as early-stage VC backed companies across healthcare sectors. Carlos is optimistic about how technology can improve our health, and better equip us to engage with the world around us. Prior to HealthRhythms, Carlos was at PatientsLikeMe, the leading peer-to-peer health research platform where he oversaw strategic partnerships and developed the company's wearables and biosensors capabilities. In 2015, Carlos was included in the "40 under 40 Healthcare Innovators" by MedTech Boston.</t>
  </si>
  <si>
    <t>29213-29P</t>
  </si>
  <si>
    <t>Carter Mack</t>
  </si>
  <si>
    <t>Mack</t>
  </si>
  <si>
    <t>Carter</t>
  </si>
  <si>
    <t>JMP Group</t>
  </si>
  <si>
    <t>+1 (415) 835-8900</t>
  </si>
  <si>
    <t>cmack@jmpg.com</t>
  </si>
  <si>
    <t>600 Montgomery Street</t>
  </si>
  <si>
    <t>Suite 1100</t>
  </si>
  <si>
    <t>Mr. Carter Mack is a Co-Founder and serves as President and Director at JMP Group. He also serves as Chairman at JMP Securities. He has served as a member of our Board of Directors since August 2004 and as our President since January 2011. Previously, he served as Director of Investment Banking and Co-President of JMP Securities from February 2007 to January 2011. Prior to co-founding the Company, he was a Managing Director in the financial services group at Montgomery Securities, now Banc of America Securities, for three years, where he focused on corporate finance and AnchorAnchormergers and acquisitions for finance companies, depository institutions, and other financial intermediaries. Mr. Mack also spent five years working with financial institutions in the investment banking group at Merrill Lynch, two years in corporate finance at Security Pacific Corp. and three years in strategic planning at Union Bank of California. Mr. Mack received an MBA degree from the UCLA Anderson School of Management and a BA degree from the University of California, Berkeley. The Board believes Mr. Mack should serve as a director due to his status as a founder of the Company and his experience in investment banking, particularly in financial services.</t>
  </si>
  <si>
    <t>43697-44P</t>
  </si>
  <si>
    <t>Chris Boyd</t>
  </si>
  <si>
    <t>Boyd</t>
  </si>
  <si>
    <t>Executive</t>
  </si>
  <si>
    <t>Points International</t>
  </si>
  <si>
    <t>+1 (416) 596-6370</t>
  </si>
  <si>
    <t>chris.boyd@points.com</t>
  </si>
  <si>
    <t>Toronto, Canada</t>
  </si>
  <si>
    <t>111 Richmond Street West</t>
  </si>
  <si>
    <t>Suite 700</t>
  </si>
  <si>
    <t>Toronto</t>
  </si>
  <si>
    <t>Ontario</t>
  </si>
  <si>
    <t>M5H 2G4</t>
  </si>
  <si>
    <t>Canada</t>
  </si>
  <si>
    <t>+1 (416) 595-6444</t>
  </si>
  <si>
    <t>Mr. Chris Boyd serves as Head, Consumer Product Management at Points International. Mr. Boyd served as the Vice President, Product Development at Switchfly. Prior to joining Switchfly, he was associated with Travelocity. Chris received a bachelor's degree in economics from the University of California.</t>
  </si>
  <si>
    <t>42089-86P</t>
  </si>
  <si>
    <t>Christian Oestlien</t>
  </si>
  <si>
    <t>Oestlien</t>
  </si>
  <si>
    <t>Christian</t>
  </si>
  <si>
    <t>Director, Product Management</t>
  </si>
  <si>
    <t>YouTube</t>
  </si>
  <si>
    <t>+1 (650) 253-0000</t>
  </si>
  <si>
    <t>coestlien@youtube.com</t>
  </si>
  <si>
    <t>901 Cherry Avenue</t>
  </si>
  <si>
    <t>+1 (650) 253-0001</t>
  </si>
  <si>
    <t>Mr. Christian Oestlien serves as a Director, Product Management at YouTube. Previously he served as a Vice President, Product Management at Twitter.</t>
  </si>
  <si>
    <t>145324-99P</t>
  </si>
  <si>
    <t>Christina Trojel-Hansen Ph.D</t>
  </si>
  <si>
    <t>Trojel-Hansen</t>
  </si>
  <si>
    <t>Christina</t>
  </si>
  <si>
    <t>Co-Owner, Co-Founder &amp; Chief Executive Officer</t>
  </si>
  <si>
    <t>Oscine Therapeutics</t>
  </si>
  <si>
    <t>+45 5370 0477</t>
  </si>
  <si>
    <t>c.trojel@oscinetherapeutics.com</t>
  </si>
  <si>
    <t>Copenhagen, Denmark</t>
  </si>
  <si>
    <t>Ole Maaløes Vej 3</t>
  </si>
  <si>
    <t>Copenhagen</t>
  </si>
  <si>
    <t>2200</t>
  </si>
  <si>
    <t>Denmark</t>
  </si>
  <si>
    <t>Dr. Christina Trojel-Hansen is a Co-Owner and Co-Founder of Oscine Therapeutics and also serves as its Chief Executive Officer. She also served as Senior Associate, Novo Seeds at Novo Holdings. Christina joined Novo Seeds in February 2016. Previously, Christina served as Senior Business Development manager in Novozymes' Business Creation and M&amp;A division, focusing on identifying and building Novozymes' next growth platforms. Additionally, Christina has been working as an associate patent agent at one of Europe's largest patent and IP consulting firms, Zacco, and as technology analyst and consultant at the technology advisory firm, Lux Research Inc., advising both SMEs and Fortune500 on emerging technologies and scouting within the area of nanobiotechnology. Christina has also been serving as start-up mentor at Indiebio (CA) and Breakout Labs (CA). Christina has a solid background in the field of nanobiotechnology and cancer drug discovery. She completed her post-doctoral training at the leading European cancer Centre, Institute Gustave Roussy /INSERM. Christina holds a PhD from University of California, Berkeley, and University of Copenhagen, and an MSc from the iNANO Centre at Aarhus University. She also serves as Entrepreneur in Residence at ARCH Venture Partners.</t>
  </si>
  <si>
    <t>48721-15P</t>
  </si>
  <si>
    <t>Chung Wu</t>
  </si>
  <si>
    <t>Wu</t>
  </si>
  <si>
    <t>Chung</t>
  </si>
  <si>
    <t>Co-Founder &amp; Engineer</t>
  </si>
  <si>
    <t>Plasmic</t>
  </si>
  <si>
    <t>South Park</t>
  </si>
  <si>
    <t>Mr. Chung Wu is a Co-Founder and serves as Engineer at Plasmic. Mr. Chung Wu is a Co-Founder, Engineering of Infer. He spent five years at Google, most recently on the Public Data project, which worked with public data providers such as World Bank and Eurostat to harmonize, visualize and surface their data on Google Search. Chung previously worked in database systems research and on products at Microsoft and IBM. He decided to pursue Infer over the Stanford PhD program in computer science.</t>
  </si>
  <si>
    <t>59832-37P</t>
  </si>
  <si>
    <t>Clare Ryan</t>
  </si>
  <si>
    <t>Clare</t>
  </si>
  <si>
    <t>Co-Founder, President &amp; Chief Executive Officer</t>
  </si>
  <si>
    <t>Structure Events</t>
  </si>
  <si>
    <t>+1 (415) 758-1503</t>
  </si>
  <si>
    <t>clare@structureconf.com</t>
  </si>
  <si>
    <t>405 El Camino Real</t>
  </si>
  <si>
    <t>Suite 215</t>
  </si>
  <si>
    <t>Ms. Clare Ryan is a Co-Founder and serves as President and Chief Executive Officer at Structure Events. She also serves as the Vice President, Events at Giga Omni Media.She also serves as the Vice President at IBT Media. She got her start in events producing M&amp;A conferences in Silicon Valley for startups and investors. Since then Clare has produced major tech conferences in San Francisco, New York, London, Vancouver BC, Los Angeles, Atlanta, Austin and more. Prior to her work with Structure Events, Clare was the VP of Events for Gigaom and before that she was an event producer for San Francisco based company Dealmaker Media. Clare lives in Portland, Oregon and produces TEDxPortland locally as well as does Program Direction for Fortune Magazine and other smaller media companies.</t>
  </si>
  <si>
    <t>12717-28P</t>
  </si>
  <si>
    <t>Coleman Fung</t>
  </si>
  <si>
    <t>Fung</t>
  </si>
  <si>
    <t>Coleman</t>
  </si>
  <si>
    <t>Co-Founder &amp; Secretary</t>
  </si>
  <si>
    <t>Iota Biosciences</t>
  </si>
  <si>
    <t>+1 (650) 632-4700</t>
  </si>
  <si>
    <t>1936 University Avenue</t>
  </si>
  <si>
    <t>Suite 355</t>
  </si>
  <si>
    <t>Mr. Coleman Fung is a Co-Founder and serves as Secretary at Iota Biosciences. Mr. Fung also was the Founder at OpenLink Financial. He also is an Angel Investor. He founded OpenLink in 1992, the company has become a leading developer of financial and energy trading and risk management software solutions with broad market functionality. Frustrated with traditional trading and risk management technologies as a derivatives trader, Mr. Fung formed OpenLink to challenge market conventions with a robust, open, and cross-market product. As the initial business architect, he laid the foundation for a robust environment that seamlessly supports front- through back-office requirements for financial and energy/commodity markets. He also marketed his vision to and developed strategic partnerships with a wide variety of customers, from traditional banking institutions, insurance firms and corporate treasuries to energy companies and utilities. Under his direction, the diverse requirements of OpenLink's strategic partners have reaffirmed and redefined the leadership position of the company's core products. Prior to establishing OpenLink, Mr. Fung was one of Fuji Capital Markets Corporation's (now known as Mizuho Capital Markets) founding members of the trading team and helped build its trading infrastructure. Previous jobs include positions with Chemical Bank's product development and derivative trading groups, and Solomon Brothers' Bond Portfolio Analysis Group. Mr. Fung also served three years active duty in the US Army. He holds a Masters degree from Stanford University and a Bachelors degree from the University of California, Berkeley.</t>
  </si>
  <si>
    <t>39834-10P</t>
  </si>
  <si>
    <t>Colin Wiel</t>
  </si>
  <si>
    <t>Wiel</t>
  </si>
  <si>
    <t>Colin</t>
  </si>
  <si>
    <t>colin@mynd.co</t>
  </si>
  <si>
    <t>Mr. Colin Wiel is a Co-Founder and serves as Chairman and Chief Technology Officer at Mynd Property Management. He holds multiple patents in artificial intelligence, has redefined Boeing's control systems, and has launched his own programming consulting firm. He is clearly no stranger to innovation. Prior to being Co-Founder/Co-CEO of Mynd, Colin was Co-Founder and CIO of Waypoint Homes, now Starwood Waypoint (NYSE: SWAY), and grew the company to be the second largest SFR real estate investment trust (REIT), managing 17,000+ homes across the country. He was named Ernst &amp; Young Entrepreneur of the Year in 2014, and Goldman Sachs Top 100 Most Innovative Entrepreneurs in 2012. Colin holds a BS in Mechanical Engineering from U.C. Berkeley.</t>
  </si>
  <si>
    <t>40489-75P</t>
  </si>
  <si>
    <t>Dan Feshbach</t>
  </si>
  <si>
    <t>Feshbach</t>
  </si>
  <si>
    <t>Dan</t>
  </si>
  <si>
    <t>MeasureOne</t>
  </si>
  <si>
    <t>+1 (844) 732-2461</t>
  </si>
  <si>
    <t>dfeshbach@measureone.com</t>
  </si>
  <si>
    <t>535 Mission Street</t>
  </si>
  <si>
    <t>14th floor</t>
  </si>
  <si>
    <t>Mr. Dan Feshbach is the Founder and serves as Board Member at MeasureOne. He is also a Co-Founder and serves as the Chairman of the Board at TeachTown. He is an accomplished data business innovator and an expert in building cooperative databases for credit-risk markets. Prior to establishing MeasureOne, he was the founder and 25-year Chief Executive Officer of LoanPerformance (purchased in 2005 by First American, now CoreLogic). He founded LoanPerformance and its databases, which began with five data contributors, they are: Freddie Mac, Bank of America, American Savings and Loan, The Dime Savings Bank, and Residential Funding Corporation. The company grew to be the leading information resource in the nonagency mortgage-backed securities market and the only cooperative database that Fannie Mae and Freddie Mac contributed loan-level data to. LoanPerformance data repository and analytic tools became the industry leader with the company tracking 50 million mortgage payments a month from Freddie Mac, Fannie Mae, Bank of America, Citi, Wells Fargo and other major lenders. In addition to leading the effort to build the mortgage industry's first cooperative data resource, he led the development of innovative products, including a number of industry firsts. Those efforts earned him recognition from the Mortgage Banking Association as a 2008 Mortgage Banking Tech All-Star for "outstanding contributions to the field of mortgage technology." He founded MeasureOne to bring that same innovative thinking and data expertise to the student loan market and help clear away the data fog surrounding student loans and borrowers. His experience, reputation as a trusted handler of sensitive data, and long-term professional relationships with experts in big data, finance, and regulatory agencies help ensure MeasureOne's success. He holds master's degrees from the University of California, Berkeley in city and regional planning and health services, with a specialty in quantitative research methods.</t>
  </si>
  <si>
    <t>129430-27P</t>
  </si>
  <si>
    <t>Dan Peterson</t>
  </si>
  <si>
    <t>Peterson</t>
  </si>
  <si>
    <t>Founder and Chairman</t>
  </si>
  <si>
    <t>Loyale</t>
  </si>
  <si>
    <t>+1 (888) 640-7815</t>
  </si>
  <si>
    <t>dan@loyale.us</t>
  </si>
  <si>
    <t>Lafayette, CA</t>
  </si>
  <si>
    <t>251 Lafayette Circle</t>
  </si>
  <si>
    <t>Lafayette</t>
  </si>
  <si>
    <t>94549</t>
  </si>
  <si>
    <t>+1 (925) 249-3038</t>
  </si>
  <si>
    <t>Mr. Dan Peterson is the Founder and serves as Chairman at Loyale. Mr. He is the Advisor at MedGenome. He has over 45 years of work experience in the financial services sector in USA. Based out of the San Francisco Bay area (California), he is currently the founder and President of ePay Healthcare. Prior to that, he was the President and CEO of CASHNet for over 25 years. He also founded and partnered at PBL Associates. Mr. Peterson completed his education from the University of California at Berkeley.</t>
  </si>
  <si>
    <t>101992-87P</t>
  </si>
  <si>
    <t>Daniel Levitt</t>
  </si>
  <si>
    <t>Levitt</t>
  </si>
  <si>
    <t>Bioz</t>
  </si>
  <si>
    <t>+1 (650) 933-3377</t>
  </si>
  <si>
    <t>daniel@bioz.com</t>
  </si>
  <si>
    <t>316 State Street</t>
  </si>
  <si>
    <t>Mr. Daniel Levitt is a Co-Founder &amp; serves as Chief Executive Officer &amp; Board Member at Bioz. The CEO is a serial entrepreneur with 22 years of senior-level management experience in life sciences and high-technology companies. Co-founder and CEO of 8 companies (one was acquired by Microsoft), and holds a BA in Economics from UC Berkeley and an M.Sc. in Management from Boston University.</t>
  </si>
  <si>
    <t>136040-23P</t>
  </si>
  <si>
    <t>Daniel Schmidt</t>
  </si>
  <si>
    <t>DoubleLoop</t>
  </si>
  <si>
    <t>dan@double-loop.co</t>
  </si>
  <si>
    <t>Mr. Daniel Schmidt is a Co-Founder of DoubleLoop and serves as its Chief Executive Officer and Board Member. He serves as Vice President of Product at MDSave.</t>
  </si>
  <si>
    <t>88584-49P</t>
  </si>
  <si>
    <t>Dave Moskovitz</t>
  </si>
  <si>
    <t>Moskovitz</t>
  </si>
  <si>
    <t>Co-Founder &amp; Business Advisor</t>
  </si>
  <si>
    <t>Arabic Digital Reform Institute</t>
  </si>
  <si>
    <t>+64 (0)21 293 0929</t>
  </si>
  <si>
    <t>dave.moskovitz@adri.co.nz</t>
  </si>
  <si>
    <t>Wellington, New Zealand</t>
  </si>
  <si>
    <t>Wellington</t>
  </si>
  <si>
    <t>New Zealand</t>
  </si>
  <si>
    <t>Mr. Dave Moskovitz is a Co-Founder and serves as Business Advisor at Arabic Digital Reform Institute. He is a professional director and angel investor. He serves on the boards of a number of startups and larger organizations and is a member of the Digital Economy and Digital Inclusion Ministerial Advisory Group reporting to Minister Clare Curran. He began his career in software development, studied computational lexicography and linguistics at the postgraduate level, and cofounded one of Wellington's early Internet companies. Since selling that company, he has worked with startups, SMEs, corporates, and government to make the most of their use of digital technology and compete globally. He's also involved in a number of philanthropic, non-profit and interfaith organizations.</t>
  </si>
  <si>
    <t>60713-38P</t>
  </si>
  <si>
    <t>Dave Myers</t>
  </si>
  <si>
    <t>Myers</t>
  </si>
  <si>
    <t>Founder, Principal &amp; Chief Executive Officer</t>
  </si>
  <si>
    <t>Apex Leaders</t>
  </si>
  <si>
    <t>+1 (650) 924-2739</t>
  </si>
  <si>
    <t>dave@apexleaders.com</t>
  </si>
  <si>
    <t>Boise, ID</t>
  </si>
  <si>
    <t>121 North 9th Street</t>
  </si>
  <si>
    <t>Boise</t>
  </si>
  <si>
    <t>Idaho</t>
  </si>
  <si>
    <t>83702</t>
  </si>
  <si>
    <t>Mr. Dave Myers is the Founder &amp; serves as Principal &amp; Chief Executive Officer at Apex Leaders. He is a Co-Founder and serves as President at InquireOf. He is a proven entrepreneur with a deep history servicing private equity clients. He is passionate about connecting individuals trying to make critical decisions with the exact person who can guide them to the best possible outcome. In the mid-2000s he started on a journey to change the way PE firms conduct due diligence in an effort to bolster their confidence to either investor or walk away much faster. Over the past decade, he has become a leader in partnering with the world's most prestigious investors to shape their investment thesis and empower them to get knowledgeable on deals faster. As a co-founder of InquireOf, he believes passionately that access to experts and information can be democratized by leveraging technology and further benefit, not just investors but a much broader audience. His passion is evident at InquireOf where he drives sales and is a primary owner of the company vision and strategy.</t>
  </si>
  <si>
    <t>43605-19P</t>
  </si>
  <si>
    <t>David Andre Ph.D</t>
  </si>
  <si>
    <t>Andre</t>
  </si>
  <si>
    <t>Co-Founder, Chief Scientist, Co-Chief Executive Officer, Chief Technology Officer &amp; Board Member</t>
  </si>
  <si>
    <t>Cerebellum Capital</t>
  </si>
  <si>
    <t>+1 (415) 963-4401</t>
  </si>
  <si>
    <t>david.andre@cerebellumcapital.com</t>
  </si>
  <si>
    <t>425 California Street</t>
  </si>
  <si>
    <t>Suite 1350</t>
  </si>
  <si>
    <t>+1 (415) 963-4328</t>
  </si>
  <si>
    <t>Dr. David Andre is a Co-Founder and serves as Chief Scientist, Co-Chief Executive Officer, Chief Technology Officer &amp; Board Member at Cerebellum Capital. From 2002 until 2007, Dr. Andre was Director of Informatics at BodyMedia, where he managed the algorithm development process using billions of minutes of physiological time-series data collected from hundreds of thousands of individuals. In 1996, Dr. Andre helped start Blue Pumpkin Software where he invented scheduling engines using innovative successive approximation and simulation techniques. Dr. Andre earned B.S. and B.A. degrees from Stanford University and a PhD in AI from U.C. Berkeley, where he was awarded a Hertz Fellowship. In addition to holding numerous patents for his inventions, he is the author of more than 65 peer-reviewed publications in the areas of statistical machine learning, robotics, reinforcement learning, evolutionary computation, and parallel processing.</t>
  </si>
  <si>
    <t>36515-35P</t>
  </si>
  <si>
    <t>David Baszucki</t>
  </si>
  <si>
    <t>Baszucki</t>
  </si>
  <si>
    <t>Roblox</t>
  </si>
  <si>
    <t>+1 (888) 858-2569</t>
  </si>
  <si>
    <t>david@roblox.com</t>
  </si>
  <si>
    <t>970 Park Place</t>
  </si>
  <si>
    <t>Mr. David Baszucki is the Founder of Roblox and serves as Chief Executive Officer and Board Member. Previously he served as Vice President and General Manager at MSC Software. He also founded and served as Chief Executive Officer of Knowledge Revolution. Prior to founding ROBLOX, Mr. Baszucki was a private investor. Previously, he was VP and General Manager of MSC.Software, where he ran the desktop simulation division. Prior to MSC.Software, Mr. Baszucki founded Knowledge Revolution and grew it to be the volume leader in mechanical simulation software and physics educational software. Knowledge Revolution was acquired by MSC.Software. Prior to founding Knowledge Revolution, he worked as a product manager and electronic designer. Mr. Baszucki was the General Motors scholar in Electrical Engineering at Stanford University. He graduated from Stanford University as a General Motors Scholar in Electrical Engineering.</t>
  </si>
  <si>
    <t>112429-81P</t>
  </si>
  <si>
    <t>David Lee Ph.D</t>
  </si>
  <si>
    <t>Co-Founder, Chief Executive Officer, Chief Financial Officer &amp; Chairman</t>
  </si>
  <si>
    <t>Scenera</t>
  </si>
  <si>
    <t>david@scenera.net</t>
  </si>
  <si>
    <t>890 Robb Road</t>
  </si>
  <si>
    <t>Dr. David Lee is a Co-Founder of Scenera and also serves as its Chief Executive Officer, Chief Financial Officer &amp; Chairman. He serves as Chief Executive Officer &amp; Chairman at Dual Aperture. Dual Aperture is a Silicon Valley start-up focused on developing photography technologies capable of having a meaningful impact on people's lives. He was the founder and CEO of Silicon Image and took the company public in 1999 serving as the company's Chairman and CEO until November 2004. Responsible for the development of two worldwide digital interface standards - Digital Visual Interface (DVI) and High-Definition Multimedia Interface (HDMI) - Silicon Image is recognized as a major force in the development and implementation of technology industry standards. While at Silicon Image, Lee forged the collaborative relationships with leading PC and consumer electronics manufacturers including Intel, Sony and Panasonic, along with major Hollywood studios, to bring DVI and HDMI standards to fruition. In 2009, HDMI was awarded the Technology and Engineering Emmy Award by National Academy of Television Arts &amp; Sciences (NATAS). According to several market research firms, more than 3 billion HDMI-enabled devices shipped from its inception through 2014. Lee was inducted into CEA Hall of Fame in 2014 for his contribution in HDMI. He served as Board Member at Keyssa. Prior to launching Silicon Image in 1995, Lee was a principal investigator at Sun Microsystems Research Laboratories and the research staff at the famed Xerox Palo Alto Research Center (PARC). There, he led a number of projects including the development of the world's first 6.3M pixel AMLCDs, which integrated high-resolution display technology with high-performance computing. A technology entrepreneur standout, Lee received his bachelor's ('83, with honors), master's ('85) and Ph.D. ('89) degrees in electrical engineering and computer science from U.C. Berkeley.</t>
  </si>
  <si>
    <t>36658-99P</t>
  </si>
  <si>
    <t>David Liu Ph.D</t>
  </si>
  <si>
    <t>Prime Medicine</t>
  </si>
  <si>
    <t>dliu@primemedicinemd.com</t>
  </si>
  <si>
    <t>Mr. David Liu is a Co-Founder of Prime Medicine. He is also a Co-Founder of Exo Therapeutics. He also served as Director of Product Marketing at Broadcom. He is the Richard Merkin Professor, director of the Merkin Institute of Transformative Technologies in Healthcare, and vice-chair of the faculty at the Broad Institute of Harvard and MIT a professor of chemistry and chemical biology at Harvard University and a Howard Hughes Medical Institute (HHMI) investigator. His research integrates chemistry and evolution to illuminate biology and enable next-generation therapeutics. His major research interests include the engineering, evolution, and in vivo delivery of genome editing proteins such as base editors to study and treat genetic diseases; the evolution of proteins with novel therapeutic potential using phage-assisted continuous evolution (PACE); and the discovery of bioactive synthetic small molecules and synthetic polymers using DNA-templated organic synthesis and DNA-encoded libraries. Base editing (named one of four 2017 Breakthrough of the Year finalists by Science), prime editing, PACE, and DNA-templated synthesis are four examples of technologies pioneered in his laboratory. He graduated first in his class at Harvard in 1994. He performed organic and bioorganic chemistry research on sterol biosynthesis under Professor E. J. Corey's guidance as an undergraduate. During his Ph.D. research with Professor Peter Schultz at U. C. Berkeley, he initiated the first general effort to expand the genetic code in living cells. He earned his Ph.D. in 1999 and became an assistant professor of chemistry and chemical biology at Harvard University in the same year. He was promoted to associate professor in 2003 and to full professor in 2005. He became a Howard Hughes Medical Institute investigator in 2005 and joined the JASONs, academic science advisors to the U.S. government, in 2009. He has earned several university-wide distinctions for teaching at Harvard, including the Joseph R. Levenson Memorial Teaching Prize, the Roslyn Abramson Award, and a Harvard College Professorship. He has published more than 195 papers and is the inventor on more than 75 issued U.S. patents. His research accomplishments have earned distinctions including the Ronald Breslow Award for Biomimetic Chemistry, the American Chemical Society David Perlman Award, ACS Chemical Biology Award, the American Chemical Society Pure Chemistry Award, the Arthur Cope Young Scholar Award, the NIH Marshall Nirenberg Lecturer, and awards from the Sloan Foundation, Beckman Foundation, NSF CAREER Program, and Searle Scholars Program. In 2016 and 2019 he was named one of the Top 20 Translational Researchers in the world by Nature Biotechnology, and in 2017 was named one of Nature's 10 researchers in the world and to the Foreign Policy Leading Global Thinkers. He is the scientific founder or co-founder of several biotechnologies and therapeutics companies, including Editas Medicine, Pairwise Plants, Exo Therapeutics and Beam Therapeutics.</t>
  </si>
  <si>
    <t>181986-49P</t>
  </si>
  <si>
    <t>Beam Therapeutics</t>
  </si>
  <si>
    <t>david.liu@beamtx.com</t>
  </si>
  <si>
    <t>26 Landsdowne Street</t>
  </si>
  <si>
    <t>Dr. David Liu is a Co-Founder at Beam Therapeutics. He is the Richard Merkin Professor and Vice-Chair of the Faculty at the Broad Institute of Harvard and MIT, Professor of Chemistry and Chemical Biology at Harvard University, and Howard Hughes Medical Institute Investigator. Dr. Liu graduated first in his class at Harvard in 1994. He performed synthetic organic and bioorganic chemistry research on sterol biosynthesis under Professor E. J. Corey's guidance as an undergraduate. During his Ph.D. research with Professor Peter Schultz at U. C. Berkeley, Dr. Liu initiated the first general effort to expand the genetic code in living cells. He earned his Ph.D. in 1999 and became Assistant Professor of Chemistry and Chemical Biology at Harvard University in the same year. He was promoted to Associate Professor in 2003 and to Full Professor in 2005. Dr. Liu became a Howard Hughes Medical Institute Investigator in 2005 and joined the JASONs, academic science advisors to the U.S. government, in 2009. Dr. Liu has earned several university-wide distinctions for teaching at Harvard, including the Joseph R. Levenson Memorial Teaching Prize, the Roslyn Abramson Award, and a Harvard College Professorship. He has published more than 150 papers and is the inventor of more than 50 issued patents. His research accomplishments have earned distinctions including the Ronald Breslow Award for Biomimetic Chemistry, the American Chemical Society Pure Chemistry Award, the Arthur C. Cope Young Scholar Award, and awards from the Sloan Foundation, Beckman Foundation, NSF CAREER Program, and Searle Scholars Program. In 2016 he was named one of the Top 20 Translational Researchers in the world by Nature Biotechnology, and in 2017 was named to the Nature's top 10 researchers in world and to the Foreign Policy Leading Global Thinkers. Dr. Liu's research integrates chemistry and evolution to illuminate biology and enable next-generation therapeutics. His major research interests include the engineering, evolution, and in vivo delivery of genome editing proteins such as base editors to study and treat genetic diseases; the evolution of proteins with novel therapeutic potential using phage-assisted continuous evolution (PACE); and the discovery of bioactive synthetic small molecules and synthetic polymers through DNA-templated organic synthesis. Base editing (named one of four 2017 Breakthrough of the Year finalists by Science), PACE, and DNA-templated synthesis are three examples of technologies pioneered in his laboratory. Dr. Liu is the scientific founder or co-founder of several biotechnology and therapeutics companies, including Ensemble Therapeutics, Permeon Biologics, Editas Medicine, Pairwise Plants, and Beam Therapeutics.</t>
  </si>
  <si>
    <t>101198-17P</t>
  </si>
  <si>
    <t>David Ruiz-Alonso Ph.D</t>
  </si>
  <si>
    <t>Ruiz-Alonso</t>
  </si>
  <si>
    <t>Owlstone Medical</t>
  </si>
  <si>
    <t>+44 (0)12 2342 8200</t>
  </si>
  <si>
    <t>david.ruiz-alonso@owlstonenanotech.com</t>
  </si>
  <si>
    <t>Cambridge, United Kingdom</t>
  </si>
  <si>
    <t>162 Cambridge Science Park</t>
  </si>
  <si>
    <t>Milton Road</t>
  </si>
  <si>
    <t>CB4 0GH</t>
  </si>
  <si>
    <t>Dr. David Ruiz-Alonso is a Co-Founder and serves as Chief Operating Officer &amp; Board Member at Owlstone Medical. He is also a Co-Founder and serves as Board Member at Owlstone. He put his PhD in superconductor modelling at Cambridge University on hold to co-found Owlstone, where he shares responsibility for day-to-day operations. He grew up in Murcia in Spain, and earned his bachelors and master's degree in engineering at the Polytechnic University of Valencia, where he took a double major in electronics and communications. He then spent a year as a graduate student at University of California, Berkeley, where he completed his Msc thesis.</t>
  </si>
  <si>
    <t>69212-53P</t>
  </si>
  <si>
    <t>Davorin Kuchan</t>
  </si>
  <si>
    <t>Kuchan</t>
  </si>
  <si>
    <t>Davorin</t>
  </si>
  <si>
    <t>Sparkling Logic</t>
  </si>
  <si>
    <t>+1 (408) 834-7002</t>
  </si>
  <si>
    <t>640 West California</t>
  </si>
  <si>
    <t>94086</t>
  </si>
  <si>
    <t>Mr. Davorin Kuchan is a Co-Founder of Sparkling Logic and also serves as its Chief Executive Officer. He was the Founder and General Partner at Tipattic Ventures. Mr. Davorin Kuchan served as Director at TI Venture. He is a Co-Founder &amp; Managing Partner at Capbridge Ventures. Prior to co-founding Capbridge, Davorin managed corporate venture and innovation at Texas Instruments, a global semiconductor leader. In addition, he headed the worldwide $600M EMSI/Flextronics business for TI. Davorin held strategic management, business development and sales management positions at Telogy Networks (acquired by TI); Neuron Data/Blaze Software (IPO, then acquired by Fair Isaac Corp.); Saber Software / Centerline; NuThena Systems and IBM/AST. With over 20 years of experience, Davorin contributes signficant investment and operational expertise in broad technology fields, spanning, S/W, H/W and solutions. Davorin also founded and managed several startups, including Old World Spirits, IdeasByDesign.com, SiliconHostel.com and serves on the advisory boards of several stealth startups. Davorin speaks English, Croation and French. He earned a BS in Computer Science and a BS in International Business with a Minor in French Language / Literature. Davorin has an MBA and Clausen Fellowship from UC Berkeley, Haas School of Business with a focus on Venture Finance and Entrepreneurship. In his spare time, Davorin is a private pilot and family legacy winemaker/master distiller.</t>
  </si>
  <si>
    <t>52894-90P</t>
  </si>
  <si>
    <t>Delia Milliron Ph.D</t>
  </si>
  <si>
    <t>Milliron</t>
  </si>
  <si>
    <t>Delia</t>
  </si>
  <si>
    <t>Co-Founder &amp; Chief Scientific Officer</t>
  </si>
  <si>
    <t>Celadyne Technologies</t>
  </si>
  <si>
    <t>+1 (512) 645-1634</t>
  </si>
  <si>
    <t>deliamilliron@celadynetech.com</t>
  </si>
  <si>
    <t>P.O. Box 7984</t>
  </si>
  <si>
    <t>78713</t>
  </si>
  <si>
    <t>Dr. Delia Milliron is a Co-Founder of Celadyne Technologies and serves as its Chief Scientific Officer. She is also a Co-Founder of Heliotrope Technologies and serves as its Chief Scientific Officer. She is a Staff Scientist at Lawrence Berkeley National Laboratory (LBNL) where she investigates fundamental properties and new applications of colloidal inorganic nanocrystals and clusters. She earned a Ph.D. in Chemistry from UC Berkeley (2004) under the mentorship of Paul Alivisatos and an AB in Chemistry and Materials Science &amp; Engineering from Princeton (1999). Delia was a postdoc and a Research Staff Member with IBM Research before joining LBNL in 2008.</t>
  </si>
  <si>
    <t>36310-69P</t>
  </si>
  <si>
    <t>Dennis Jang</t>
  </si>
  <si>
    <t>Jang</t>
  </si>
  <si>
    <t>Dennis</t>
  </si>
  <si>
    <t>Chief Financial Officer &amp; Vice President, Finance and Administration</t>
  </si>
  <si>
    <t>Glint (Sunnyvale)</t>
  </si>
  <si>
    <t>+1 (650) 817-7240</t>
  </si>
  <si>
    <t>djang@glintinc.com</t>
  </si>
  <si>
    <t>100 West Maude Avenue</t>
  </si>
  <si>
    <t>Mr. Dennis Jang serves as Chief Financial Officer &amp; Vice President, Finance and Administration at Glint. He serves as Chief Financial Officer, Chief Operating Officer &amp; is a Co-Founder at EngageHD. Mr. Jang was the Vice President of Finance and Administration at Turn. He is responsible for all aspects of finance, accounting, people operations, and facilities. Dennis is the consummate startup specialist, bringing over 25 years of finance and operations experience from 7 other high tech startup companies. He is passionate about building nacent companies into large thriving organizations. Earlier in his career, Dennis held senior finance and operations positions in a variety industries, including ad tech, e-commerce, computer peripherals, bio-tech, and semiconductor automatic test equipment. Dennis holds a BS degree in Finance from San Jose State University.</t>
  </si>
  <si>
    <t>35359-84P</t>
  </si>
  <si>
    <t>Dennis Sylvester Ph.D</t>
  </si>
  <si>
    <t>Sylvester</t>
  </si>
  <si>
    <t>Ambiq</t>
  </si>
  <si>
    <t>+1 (512) 879-2850</t>
  </si>
  <si>
    <t>dsylvester@ambiqmicro.com</t>
  </si>
  <si>
    <t>6500 River Place Boulevard</t>
  </si>
  <si>
    <t>Building 7, Suite 200</t>
  </si>
  <si>
    <t>78730</t>
  </si>
  <si>
    <t>+1 (512) 879-2856</t>
  </si>
  <si>
    <t>Dr. Dennis Sylvester is a Co-Founder of Ambiq Micro. Dr. Sylvester serves as Member of the Technical Advisory Board -Academic of Sequence Design. He serves as Assistant Professor of University of Michigan -Dept. of EE and CS. He is a Co-Founder of CubeWorks.</t>
  </si>
  <si>
    <t>72196-12P</t>
  </si>
  <si>
    <t>Dennis Wall Ph.D</t>
  </si>
  <si>
    <t>Wall</t>
  </si>
  <si>
    <t>Founder</t>
  </si>
  <si>
    <t>Tuild</t>
  </si>
  <si>
    <t>dennis@cognoa.com</t>
  </si>
  <si>
    <t>3390 Greer Road</t>
  </si>
  <si>
    <t>Dr. Dennis Wall is a Co-Founder of Tuild. He has studied at Stanford University. He is a Associate Professor of Pediatrics and Biomedical Data Science at Stanford University with 14 years of research experience focused on building validated mobile AI solutions for better child health.</t>
  </si>
  <si>
    <t>161836-93P</t>
  </si>
  <si>
    <t>Dirk Zwemer Ph.D</t>
  </si>
  <si>
    <t>Zwemer</t>
  </si>
  <si>
    <t>Dirk</t>
  </si>
  <si>
    <t>Intercax</t>
  </si>
  <si>
    <t>+1 (404) 592-6897</t>
  </si>
  <si>
    <t>dirk.zwemer@intercax.com</t>
  </si>
  <si>
    <t>75 Fifth Street North West</t>
  </si>
  <si>
    <t>Suite 312</t>
  </si>
  <si>
    <t>+1 (404) 806-6211</t>
  </si>
  <si>
    <t>Dr. Dirk Zwemer is a Co-Founder at Intercax and also serves as its President and Chief Executive Officer. Prior to joining Intercax, he held multiple positions including Board Member at AkroMetrix LLC, a leader in mechanical test equipment and services for the global electronics industry. Zwemer's industrial experience includes Bell Labs, ITT and SRI Consulting. He has a PhD in Chemical Physics from UC Berkeley and a MBA from Santa Clara University. Dr. Zwemer is a member of INCOSE, a certified systems modeling professional (OCSMP Level 4 - Model Builder Advanced), and a thought leader and presenter on SysML and MBSE topics.</t>
  </si>
  <si>
    <t>74800-00P</t>
  </si>
  <si>
    <t>Doreen Bloch</t>
  </si>
  <si>
    <t>Bloch</t>
  </si>
  <si>
    <t>Doreen</t>
  </si>
  <si>
    <t>Chief Executive Officer, Co-Founder and Board Member</t>
  </si>
  <si>
    <t>Poshly</t>
  </si>
  <si>
    <t>doreen@poshly.com</t>
  </si>
  <si>
    <t>315 West</t>
  </si>
  <si>
    <t>36th Street</t>
  </si>
  <si>
    <t>10018</t>
  </si>
  <si>
    <t>Ms. Doreen Bloch is a Co-Founder and serves as Chief Executive Officer and Board Member at Poshly. She is a recipient of L'Oreal's NEXT Generation Women in Digital Award and is a member of the Young Entrepreneur Council. He began her career at Yahoo! and SecondMarket. She holds a Bachelor of Science in Business Administration from the University of California, Berkeley, and her work is regularly featured by The New York Times, Forbes, Women 2.0, The Wall Street Journal, and more.</t>
  </si>
  <si>
    <t>45888-76P</t>
  </si>
  <si>
    <t>Doug Marinaro</t>
  </si>
  <si>
    <t>Marinaro</t>
  </si>
  <si>
    <t>Chief Growth Officer &amp; Co-Founder</t>
  </si>
  <si>
    <t>LiquidSpace</t>
  </si>
  <si>
    <t>+1 (855) 254-7843</t>
  </si>
  <si>
    <t>doug@liquidspace.com</t>
  </si>
  <si>
    <t>2225 East Bayshore Road</t>
  </si>
  <si>
    <t>Mr. Doug Marinaro is a Co-Founder and serves as Chief Growth Officer at LiquidSpace. Mr. Marinaro is a Co-Founder and serves as Chief Executive Officer at Riptide.</t>
  </si>
  <si>
    <t>40874-05P</t>
  </si>
  <si>
    <t>Douglas Goldman MD</t>
  </si>
  <si>
    <t>Goldman</t>
  </si>
  <si>
    <t>Douglas</t>
  </si>
  <si>
    <t>Certain</t>
  </si>
  <si>
    <t>+1 (415) 353-5330</t>
  </si>
  <si>
    <t>dgoldman@certain.com</t>
  </si>
  <si>
    <t>75 Hawthorne Street</t>
  </si>
  <si>
    <t>Dr. Douglas Goldman is the Founder of Certain and serves as its Chairman. He currently serves on the board of the Goldman School of Public Policy and the Haas School of Business at the University of California at Berkeley, the Harold Hartog School of Government and Policy at Tel-Aviv University, the Goldman Environmental Foundation, and the Goldman Prize Jury. He also serves as President of the Board of Directors at Lisa and Douglas Goldman Fund.</t>
  </si>
  <si>
    <t>126654-13P</t>
  </si>
  <si>
    <t>Edoardo Charbon Ph.D</t>
  </si>
  <si>
    <t>Charbon</t>
  </si>
  <si>
    <t>Edoardo</t>
  </si>
  <si>
    <t>Fastree3D</t>
  </si>
  <si>
    <t>+41 (0)79 866 1000</t>
  </si>
  <si>
    <t>edoardo@fastree3d.com</t>
  </si>
  <si>
    <t>Ecublens, Switzerland</t>
  </si>
  <si>
    <t>EPFL Innovation Park</t>
  </si>
  <si>
    <t>Chemin de la Dent d'Oche 1B</t>
  </si>
  <si>
    <t>Ecublens</t>
  </si>
  <si>
    <t>1024</t>
  </si>
  <si>
    <t>Switzerland</t>
  </si>
  <si>
    <t>Dr. Edoardo Charbon is a Co-Founder and serves as Chief Scientific Officer at Fastree 3D. He serves as a Full Professor at Tu Delft. He is a Co-Founder and serves as Board Member at Pi Imaging.</t>
  </si>
  <si>
    <t>108228-43P</t>
  </si>
  <si>
    <t>Ely Tsern Ph.D</t>
  </si>
  <si>
    <t>Tsern</t>
  </si>
  <si>
    <t>Ely</t>
  </si>
  <si>
    <t>Bryte (California)</t>
  </si>
  <si>
    <t>+1 (800) 952-5210</t>
  </si>
  <si>
    <t>ely@bryte.com</t>
  </si>
  <si>
    <t>221 Main Street</t>
  </si>
  <si>
    <t>Suite 570</t>
  </si>
  <si>
    <t>Dr. Ely Tsern is a Co-Founder and serves as Chief Executive Officer and Board Member at Bryte (California). Dr. Tsern served as the Vice President &amp; Chief Technologist, Memory &amp; Interfaces at Rambus.</t>
  </si>
  <si>
    <t>163240-66P</t>
  </si>
  <si>
    <t>Emanuel Balarie</t>
  </si>
  <si>
    <t>Balarie</t>
  </si>
  <si>
    <t>Emanuel</t>
  </si>
  <si>
    <t>FundSeeder</t>
  </si>
  <si>
    <t>+1 (561) 953-4456</t>
  </si>
  <si>
    <t>ebalarie@fundseeder.com</t>
  </si>
  <si>
    <t>Fort Lauderdale, FL</t>
  </si>
  <si>
    <t>333 Las Olas Way</t>
  </si>
  <si>
    <t>Suite 411</t>
  </si>
  <si>
    <t>Fort Lauderdale</t>
  </si>
  <si>
    <t>33301</t>
  </si>
  <si>
    <t>Mr. Emanuel Balarie is a Co-Founder of FundSeeder and also serves as its Chief Executive Officer and Chairman. Under his leadership the company has made tremendous strides in its quest to discover the world's best trading talent. A known industry expert in the commodity markets and managed futures space, Mr. Balarie has developed a unique specialty in discovering and funding unrecognized trading talent. Over the years, he has traveled and met traders from all over the globe. His true passion is connecting these undiscovered traders with sophisticated investors. He is the author of the book Commodities for Every Portfolio: How You Can Profit from the Long-Term Commodity Boom (Wiley 2007). He also serves as Chief Executive Officer at OP FundSeeder. Balarie has appeared numerous times on CNBC and has been quoted or featured in a variety of financial publications such as, The Wall Street Journal, Reuters, MarketWatch from Dow Jones, Barron's, MSN Money, and Bloomberg. He holds a Degree from University of California, Berkeley.</t>
  </si>
  <si>
    <t>133114-51P</t>
  </si>
  <si>
    <t>Eric Esrailian MD</t>
  </si>
  <si>
    <t>Esrailian</t>
  </si>
  <si>
    <t>Co-Founder &amp; Strategic Advisor</t>
  </si>
  <si>
    <t>DEARhealth</t>
  </si>
  <si>
    <t>e.esrailian@dearhealth.com</t>
  </si>
  <si>
    <t>3220 Nebraska Avenue</t>
  </si>
  <si>
    <t>Dr. Eric Esrailian is a Co-Founder &amp; serves as Strategic Advisor at DEARhealth. He is a Board Member of XPRIZE. Dr. Esrailian is the Co-Chief of the Division of Digestive Diseases at the David Geffen School of Medicine at UCLA. He attended the University of California at Berkeley and graduated with a major in Integrative Biology and a minor in English. He subsequently graduated from the Loma Linda University School of Medicine and completed a residency in internal medicine at the University of Southern California. He was named intern, junior resident, and senior resident of the year during all three years of his residency training. He completed his gastroenterology fellowship at UCLA where he also obtained a Masters of Public Health degree. He is also a graduate of the Executive Program in Management from the UCLA Anderson School of Management. Dr. Esrailian served on the Medical Board of California from 2010-2011 after being appointed by Governor Arnold Schwarzenegger. In addition to disease areas within gastroenterology and internal medicine, Dr. Esrailian has a particular interest in the development of biomedical innovations, value in health care, medical education, and initiatives towards patient-centered care. In 2012, the School of Medicine awarded him the Lincy Foundation Chair in Clinical Gastroenterology. He is closely involved in growth strategy and strategic planning efforts for UCLA Health and The David Geffen School of Medicine at UCLA. He also works to facilitate community engagement with a number of other schools and departments within the UCLA campus and its Los Angeles community partners, and he is on the UCLA campus steering committee for the Centennial Campaign. Dr. Esrailian is also on the Board of Directors for the Fulfillment Fund and Fulfillment Fund Las Vegas, the Hammer Museum, XPRIZE Foundation, the Executive Board of the UCLA School of Theater, Film, and Television, and he is on the Board of Trustees for The Center for Early Education. He is also involved in efforts to provide healthcare and social services to members of the entertainment industry, and he is on the Chairman's Council for the Motion Picture &amp; Television Fund.</t>
  </si>
  <si>
    <t>46839-70P</t>
  </si>
  <si>
    <t>Eric Liu</t>
  </si>
  <si>
    <t>Bayes Impact</t>
  </si>
  <si>
    <t>+1 (650) 226-4165</t>
  </si>
  <si>
    <t>eric@bayesimpact.org</t>
  </si>
  <si>
    <t>Impact Hub</t>
  </si>
  <si>
    <t>1885 Mission Street, Office 308</t>
  </si>
  <si>
    <t>Mr. Eric Liu is the Co-Founder &amp; serves as Board Member at Bayes Impact. He was a former venture capitalist at Thomvest Ventures, a growth stage venture fund focused on investing in advertising technology, financial technology, and SaaS. His talents include having great hair and using Google Calendar.</t>
  </si>
  <si>
    <t>128007-28P</t>
  </si>
  <si>
    <t>Eric Steen Ph.D</t>
  </si>
  <si>
    <t>Steen</t>
  </si>
  <si>
    <t>Lygos</t>
  </si>
  <si>
    <t>+1 (510) 416-5185</t>
  </si>
  <si>
    <t>steen@lygos.com</t>
  </si>
  <si>
    <t>1249 Eighth Street</t>
  </si>
  <si>
    <t>Dr. Eric Steen is a Co-Founder and serves as Chief Executive Officer and Board Member at Lygos. At Lygos, his primary responsibilities include establishing a strategic vision, managing partnership and customer development, process commercialization, product development and fundraising. Dr. Steen is an expert in optimizing sugar to product conversion efficiency, and prior to co-founding Lygos he led efforts to engineer yeast for the conversion of sugars into fuels and chemicals at the Department of Energy's Joint BioEnergy Institute; these technologies resulted in numerous peer-reviewed publications and patents, which are in various stages of commercialization. Dr. Steen earned a BS in Biomedical Engineering from Brown University in Providence, RI and a PhD in Bioengineering from UC Berkeley and UC San Francisco. While in graduate school, Dr. Steen completed a program in Management of Technology at UC Berkeley's Haas School of Business.</t>
  </si>
  <si>
    <t>36527-68P</t>
  </si>
  <si>
    <t>Erik Budde</t>
  </si>
  <si>
    <t>Budde</t>
  </si>
  <si>
    <t>Erik</t>
  </si>
  <si>
    <t>GigaPoints</t>
  </si>
  <si>
    <t>erik@gigapoints.com</t>
  </si>
  <si>
    <t>809 Laurel Street</t>
  </si>
  <si>
    <t>Suite 973</t>
  </si>
  <si>
    <t>Mr. Erik Budde is the Founder and serves as Chief Executive Officer at GigaPoints. He is the Founder and serves as the Chief Executive Officer at Retirement Online. He founded and served as Chief Executive Officer at T2 Media. He also founded AboutAirportParking.com in 2008 and served as its Chief Executive Officer.</t>
  </si>
  <si>
    <t>140558-50P</t>
  </si>
  <si>
    <t>Evan Haigler</t>
  </si>
  <si>
    <t>Haigler</t>
  </si>
  <si>
    <t>Evan</t>
  </si>
  <si>
    <t>Co-Founder, Board Member &amp; Principal</t>
  </si>
  <si>
    <t>UpEnergy</t>
  </si>
  <si>
    <t>+256 (0)39 3516685</t>
  </si>
  <si>
    <t>evan@upenergygroup.com</t>
  </si>
  <si>
    <t>Kampala, Uganda</t>
  </si>
  <si>
    <t>Plot 3848 Rwakiseta Road (Off Kironde Road)</t>
  </si>
  <si>
    <t>PostOffice Box 24480, Muyenga</t>
  </si>
  <si>
    <t>Kampala</t>
  </si>
  <si>
    <t>Uganda</t>
  </si>
  <si>
    <t>Mr. Evan Haigler serves as an Executive Director at Impact Carbon. He is a Co-Founder of UpEnergy and serves as its Board Member and Principal. He serves as Chief Executive Officer and Manager at Impact Water.</t>
  </si>
  <si>
    <t>67536-55P</t>
  </si>
  <si>
    <t>Francisco Machuca Ph.D</t>
  </si>
  <si>
    <t>Machuca</t>
  </si>
  <si>
    <t>Francisco</t>
  </si>
  <si>
    <t>Tivra</t>
  </si>
  <si>
    <t>Pleasant Hill, CA</t>
  </si>
  <si>
    <t>3343 Vincent Road</t>
  </si>
  <si>
    <t>Suite B</t>
  </si>
  <si>
    <t>Pleasant Hill</t>
  </si>
  <si>
    <t>94523</t>
  </si>
  <si>
    <t>Dr. Francisco Machuca is the Founder and serves as Chief Executive Officer at Tivra. He serves as the CTO and CO of Jetalon Solutions. Dr. Machuca is a technology visionary with over 15 years of experience in developing high technology products. Dr. Machuca held R &amp; D and engineering positions at Stanford University, Applied Materials, and KLA-Tencor, where he developed solid state devices, high-speed inspection equipment, and maskless multi-E-beam lithography tools. Most recently, Dr. Machuca was senior staff scientist at Solar Notion Inc., where he created IP and trade secrets for improving efficiencies of large scale solar paneling and novel solar cell fabrication techniques, including laser melting techniques of silicon powders. Dr. Machuca received his B.S. in Mathematics and Physics from the University of California, Berkeley and his M.S. and Ph.D. in Electrical Engineering, with a focus in semiconductor processing, material science, device physics, and charged particle optics, from Stanford University.</t>
  </si>
  <si>
    <t>79623-91P</t>
  </si>
  <si>
    <t>Gabriel Moncayo</t>
  </si>
  <si>
    <t>Moncayo</t>
  </si>
  <si>
    <t>Gabriel</t>
  </si>
  <si>
    <t>Always Hired</t>
  </si>
  <si>
    <t>+1 (415) 840-0566</t>
  </si>
  <si>
    <t>gabe@alwayshired.com</t>
  </si>
  <si>
    <t>1161 Mission Street</t>
  </si>
  <si>
    <t>Mr. Gabriel Moncayo is Co-Founder &amp; serves as Chief Executive Officer at Always Hired. He was the Senior Sales Manager at Main Street Hub.</t>
  </si>
  <si>
    <t>36036-10P</t>
  </si>
  <si>
    <t>Gamiel Gran</t>
  </si>
  <si>
    <t>Gran</t>
  </si>
  <si>
    <t>Gamiel</t>
  </si>
  <si>
    <t>Co-Founder &amp; Owner</t>
  </si>
  <si>
    <t>Ease New Media</t>
  </si>
  <si>
    <t>+1 (617) 653-6956</t>
  </si>
  <si>
    <t>gamiel@easevr.com</t>
  </si>
  <si>
    <t>2017 California Street</t>
  </si>
  <si>
    <t>Apartment 12B</t>
  </si>
  <si>
    <t>02908</t>
  </si>
  <si>
    <t>+1 (310) 564-2007</t>
  </si>
  <si>
    <t>Mr. Gamiel Gran is a Co-Founder and serves as Investor &amp; Advisor at Ease VR. HE also serves as Vice President of Business Development at Mayfield Fund. Mr. Gran served as Chief Strategy Officer at SOASTA. He served as Partner at Sierra Ventures. He serves as a Vice President of Business Development at Appcelerator. His role includes the development of external advisory boards such as the Sierra Ventures CIO Advisory Board, and the development of partnerships with services providers including Angel investors, recruiters, Venture Banking, and law firms. He also leads market insight efforts for the firm through his access to the CIO Advisory Board. This effort improves the overall investment process with richer due diligence, proprietary deal flow, and strategic advice for the companies in Sierra's global portfolio. He brings several years of operational roles leading Business and Corporate Development, Strategic Alliances, Indirect Channels, and Direct Sales for companies such as IBM, Oracle, BEA, Asera, Edify and Cassatt. Prior to joining Sierra in 2008, he was Vice President of Global Channels and Business Development at Cassatt, Vice President of Global Channel Sales at Edify, Vice President of Strategic Alliances at BEA, and Vice President of Business Development at Asera. He also spent four years at Oracle in Channel Sales and ten years at IBM in Business Development and Sales. During his career, he has been recognized for successfully establishing strategic relationships and launching channels and indirect sales models publications such as VAR Business and CRN have captured these skills with various industry awards. He holds a BA in Economics/Social Science from the University of California at Berkeley.</t>
  </si>
  <si>
    <t>129560-32P</t>
  </si>
  <si>
    <t>Gary Goldstein</t>
  </si>
  <si>
    <t>Goldstein</t>
  </si>
  <si>
    <t>Gary</t>
  </si>
  <si>
    <t>Co-Founder, President, Chief Operating Officer, Chief Executive Officer &amp; Board Member</t>
  </si>
  <si>
    <t>Insynctive</t>
  </si>
  <si>
    <t>+1 (925) 260-8599</t>
  </si>
  <si>
    <t>ggoldstein@insynctive.com</t>
  </si>
  <si>
    <t>182 Via Del Sol</t>
  </si>
  <si>
    <t>Mr. Gary Goldstein is a Co-Founder of Insynctive and also serves as its President, Chief Operating Officer, Chief Executive Officer &amp; Board Member. He also is an Angel Investor. As of May, 2016, Mr. Goldstein is the controlling shareholder and the largest Convertible Note holder. He founded BISNet (sold to BenefitStreet). Industry veteran in successful SaaS solutions for the benefits industry.</t>
  </si>
  <si>
    <t>45499-06P</t>
  </si>
  <si>
    <t>Gene Wang</t>
  </si>
  <si>
    <t>Wang</t>
  </si>
  <si>
    <t>Gene</t>
  </si>
  <si>
    <t>People Power</t>
  </si>
  <si>
    <t>+1 (855) 712-9833</t>
  </si>
  <si>
    <t>gene@peoplepowerco.com</t>
  </si>
  <si>
    <t>620 Lowell Avenue</t>
  </si>
  <si>
    <t>Mr. Gene Wang is a Co-Founder and serves as Chief Executive Officer and Chairman at People Power. Mr. Wang previously served as Chairman and CEO of Bitfone, an industry leader in mobile phone device management, which he sold to HP in 2007 for $160M. Gene was CEO and Chairman of Photo Access, which sold to Agilent in 2000. Gene was CEO of Computer Motion, a leader in medical robotics, which he led through a successful IPO in 1997. At Symantec, Gene was Executive VP where he managed four divisions and helped grow the annual sales from $172 million to $412 million. Gene was VP and general manager at Borland, where he drove sales of the C++ programming language to over one million copies. Gene was co-founder and VP Marketing at Gold Hill Computers, an Artificial Intelligence company. Gene earned a bachelor's degree in computer science from the University of California at Berkeley.</t>
  </si>
  <si>
    <t>59891-41P</t>
  </si>
  <si>
    <t>Geoffrey Davis Ph.D</t>
  </si>
  <si>
    <t>Davis</t>
  </si>
  <si>
    <t>Geoffrey</t>
  </si>
  <si>
    <t>President, Chief Scientific Officer, Board Member &amp; Co-Founder</t>
  </si>
  <si>
    <t>Angiocrine Bioscience</t>
  </si>
  <si>
    <t>+1 (877) 784-8496</t>
  </si>
  <si>
    <t>gdavis@angiocrinebio.com</t>
  </si>
  <si>
    <t>1300 York Avenue</t>
  </si>
  <si>
    <t>10065</t>
  </si>
  <si>
    <t>+1 (646) 349-5223</t>
  </si>
  <si>
    <t>Dr. Geoffrey Davis is a Co-Founder and serves as President, Chief Scientific Officer and Board Member at Angiocrine Bioscience. Prior to this he served as Chief Executive Officer at Angiocrine Bioscience. Dr. Davis was a founder and the Chief Scientific Officer for Abgenix in Fremont, California. He led the development of the XenoMouse technology, which provided the basis for Abgenix to grow from a Cell Genesys spinout and be acquired by Amgen. During this time, he advanced three antibody product candidates into clinical trials and was instrumental in identifying, structuring, and managing over 30 corporate partnerships. To date, these partnerships have resulted in 11 antibody product candidates derived from XenoMouse technology entering clinical trials and two being approved for the market. Dr. Davis received his Ph.D. from the University of California, San Francisco and completed his postdoctoral work in the laboratory of Nobel Laureates Joseph L. Goldstein and Michael S. Brown at The University of Texas, Southwestern. Prior to founding Abgenix, Dr. Davis was a faculty member at UCSF, an investigator with the Howard Hughes Medical Institute, and Director of Immunology at both Repligen Corporation and Cell Genesys. He also consults for several biotechnology/pharmaceutical companies and serves on the Board of Directors for four companies. He also serves as Board Member at Moerae Matrix.</t>
  </si>
  <si>
    <t>40682-35P</t>
  </si>
  <si>
    <t>Gil Dudkiewicz</t>
  </si>
  <si>
    <t>Dudkiewicz</t>
  </si>
  <si>
    <t>Gil</t>
  </si>
  <si>
    <t>StartApp</t>
  </si>
  <si>
    <t>gil@startapp.com</t>
  </si>
  <si>
    <t>584 Broadway Street</t>
  </si>
  <si>
    <t>12th Floor Suite 1206</t>
  </si>
  <si>
    <t>10012</t>
  </si>
  <si>
    <t>Mr. Gil Dudkiewicz is a Co-Founder of StartApp and serves as its Chief Executive Officer. He was the Entrepreneur In Residence at the Cedar Fund. Prior to this, he was the CEO of SweetIM, which he joined as a pre-revenue company with 5 employees and led them to be very profitable and winning the Technology Rising Star Award by D&amp;T Fast 50 Competition during his tenure. SweetIM was acquired by Perion Network (NASDAQ: PERI) on November 2012 for $41 Million. He was also founder and CEO of MyDTV/MeeVee a personalized TV Guide and TV search. Gil is a member of the board of directors of the IAB Mobile Center, he holds an MBA from UC Berkeley and a B.Sc. in Engineering from the Technion.</t>
  </si>
  <si>
    <t>98399-26P</t>
  </si>
  <si>
    <t>Graciela Chichilnisky Ph.D</t>
  </si>
  <si>
    <t>Chichilnisky</t>
  </si>
  <si>
    <t>Graciela</t>
  </si>
  <si>
    <t>Global Thermostat</t>
  </si>
  <si>
    <t>+1 (646) 798-6217</t>
  </si>
  <si>
    <t>graciela.chichilnisky@globalthermostat.com</t>
  </si>
  <si>
    <t>660 Madison Avenue</t>
  </si>
  <si>
    <t>Dr. Graciela Chichilnisky is a Co-Founder and serves as the Chief Executive Officer at Global Thermostat. Dr. Chichilnisky was founder and CEO of two successful technology companies in the financial telecommunications area, based on the IP she created and patented, which she sold in Japan and in the U.S. In addition to her extensive management experience, she is an active scientist and acts as a special adviser to several UN organizations and heads of state. Her pioneering work uses innovative market mechanisms to reduce carbon emissions, conserve biodiversity and ecosystem services. The author of fifteen books and over 300 scientific articles published in the preeminent academic journals covering economics, finance and mathematics, Dr. Chichilnisky speaks extensively on globalization and the global environment. She is a professor of Economics and Mathematical Statistics and a University Senator at Columbia University in New York, and the Sir Louis Matheson Distinguished Visiting Professor at Monash University, Australia. Dr. Chichilnisky has no college degree. She studied at MIT and UC Berkeley and holds two Ph.D. degrees in pure Mathematics and in Economics respectively, and taught at Harvard, Essex and Stanford Universities.</t>
  </si>
  <si>
    <t>83910-43P</t>
  </si>
  <si>
    <t>Graham Randall Ph.D</t>
  </si>
  <si>
    <t>Randall</t>
  </si>
  <si>
    <t>Co-Founder, President, Chief Executive Officer &amp; Board Member</t>
  </si>
  <si>
    <t>Noninvasix</t>
  </si>
  <si>
    <t>+1 (888) 376-6771</t>
  </si>
  <si>
    <t>graham.randall@noninvasix.com</t>
  </si>
  <si>
    <t>Galveston, TX</t>
  </si>
  <si>
    <t>Care of University of Texas Medical Branch</t>
  </si>
  <si>
    <t>301 University Boulevard 2A</t>
  </si>
  <si>
    <t>Galveston</t>
  </si>
  <si>
    <t>77555</t>
  </si>
  <si>
    <t>Dr. Graham Randall is a Co-Founder and serves as President, Chief Executive Officer &amp; Board Member at Noninvasix. Graham has 17 years' experience in software development, technology strategy and medical device commercialization. His background includes large technology firms and rapidly growing start-ups from Silicon Valley to Houston.</t>
  </si>
  <si>
    <t>40016-53P</t>
  </si>
  <si>
    <t>Gregory Brogger JD</t>
  </si>
  <si>
    <t>Brogger</t>
  </si>
  <si>
    <t>SharesPost</t>
  </si>
  <si>
    <t>+1 (800) 279-7754</t>
  </si>
  <si>
    <t>greg@sharespost.com</t>
  </si>
  <si>
    <t>555 Montgomery Street</t>
  </si>
  <si>
    <t>+1 (650) 492-6871</t>
  </si>
  <si>
    <t>Mr. Gregory Brogger is the Founder and serves as Chief Executive Officer at SharesPost. He Co-Founded ListSpinner and served as its Chief Executive Officer. He co-founded SharesPost in early 2009 to bring transparency, efficiency and scale to private securities transactions. Prior to SharesPost, he was a co-founder of TrueCar (Nasdaq: TRUE) where he was responsible for the company's early strategic partnerships. He was a member of the founding team at CarsDirect.com (now called Internet Brands - Nasdaq: INET) and was Idealab's VP of Business Development. He is also an angel investor through his incubator and fund, BrightHouse. Earlier in his career, he advised technology companies as a securities lawyer at Wilson Sonsini Goodrich &amp; Rosati. He received his BA from UC Berkeley, his JD from the University of Pennsylvania and his MBA from The Wharton School.</t>
  </si>
  <si>
    <t>102347-11P</t>
  </si>
  <si>
    <t>Gregory Kovacs Ph.D</t>
  </si>
  <si>
    <t>Kovacs</t>
  </si>
  <si>
    <t>Co-Founder &amp; Chief Technology Advisor</t>
  </si>
  <si>
    <t>MalibuIQ</t>
  </si>
  <si>
    <t>+1 (985) 327-7315</t>
  </si>
  <si>
    <t>Covington, LA</t>
  </si>
  <si>
    <t>21245 Smith Road</t>
  </si>
  <si>
    <t>Covington</t>
  </si>
  <si>
    <t>Louisiana</t>
  </si>
  <si>
    <t>70435</t>
  </si>
  <si>
    <t>Dr. Gregory Kovacs is a Co-Founder and serves as Chief Technology Advisor at MalibuIQ. He also served as Strategic Advisor at Lakewood &amp; Company. He also serves as Chief Technology Officer at SRI International. He works with technologies for commercialization from both inside and outside of HRL. In this role, he considers maturity, market relevance, technical feasibility, intellectual property issues, synergies with other technologies/markets, and other factors. His efforts span such identification and evaluation efforts through helping MalibuIQ companies develop downstream technology and intellectual property portfolios strategically. In addition to his role at MalibuIQ, he is a Professor of Electrical Engineering at Stanford University. Currently his research areas include biomedical instruments and sensors, cardiac physiology, in vitro models for stem cell tissue repair and medical diagnostics. He has more than 160 scientific publications, 40 patents and has written a textbook on MEMS. From 2008 through 2010, he was on leave from Stanford to serve as Director of the Microelectronics Technology Office at the U.S. Defense Department's Defense Advanced Research Projects Agency (DARPA). He also has extensive industry experience including co-founding several companies, including Cepheid in Sunnyvale, CA. In 2003, he served as the Investigation Scientist for the debris team of the Columbia Accident Investigation Board, having worked for the first four months after the accident at the Kennedy Space Center, Florida. He later served as Engineering/Medical Liaison on the Spacecraft Crew Survival Integration Investigation Team (SCSIIT) of the Johnson Space Center. He received a National Science Foundation Young Investigator Award, held the Noyce Family Chair and was a Terman and then University Fellow at Stanford. He is a Fellow of the IEEE and of the American Institute for Medical and Biological Engineering and of the IEEE. He received a B.A.Sc degree in electrical engineering from the University of British Columbia, an MS degree in bioengineering from the University of California, Berkeley and a PhD in electrical engineering and an MD degree from Stanford University.</t>
  </si>
  <si>
    <t>93028-24P</t>
  </si>
  <si>
    <t>Hakhyun Nam Ph.D</t>
  </si>
  <si>
    <t>Nam</t>
  </si>
  <si>
    <t>Hakhyun</t>
  </si>
  <si>
    <t>Founder &amp; President</t>
  </si>
  <si>
    <t>i-SENS</t>
  </si>
  <si>
    <t>+82 (0)2 916 6191</t>
  </si>
  <si>
    <t>hnam@i-sens.com</t>
  </si>
  <si>
    <t>Seoul, South Korea</t>
  </si>
  <si>
    <t>43, Banpo-daero 28-gil</t>
  </si>
  <si>
    <t>Seoul</t>
  </si>
  <si>
    <t>Seocho</t>
  </si>
  <si>
    <t>06646</t>
  </si>
  <si>
    <t>South Korea</t>
  </si>
  <si>
    <t>+82 (0)2 942 2514</t>
  </si>
  <si>
    <t>Dr. Hakhyun Nam is the Founder and serves as President at i-SENS. He has a PhD from the Michigan State University, Department of Chemistry. He works as 
Professor, Department of Chemistry at Kwangwoon University and as a Consultant to Sensicore Inc.</t>
  </si>
  <si>
    <t>148291-93P</t>
  </si>
  <si>
    <t>Houman Shadab JD</t>
  </si>
  <si>
    <t>Shadab</t>
  </si>
  <si>
    <t>Houman</t>
  </si>
  <si>
    <t>Co-Founder &amp; Chief Operating Officer</t>
  </si>
  <si>
    <t>Clause (Automation Software)</t>
  </si>
  <si>
    <t>246 5th Avenue</t>
  </si>
  <si>
    <t>Mr. Houman B. Shadab is a Co-Founder and also serves as the Chief Operating Officer at Clause. He currently serves as a Legal Advisor at Crypto Facilities.</t>
  </si>
  <si>
    <t>100872-28P</t>
  </si>
  <si>
    <t>Ikin Wirawan</t>
  </si>
  <si>
    <t>Wirawan</t>
  </si>
  <si>
    <t>Ikin</t>
  </si>
  <si>
    <t>Walden Global Services</t>
  </si>
  <si>
    <t>Indonesia</t>
  </si>
  <si>
    <t>Mr. Ikin Wirawan is the Founder &amp; serves as Chairman at Walden Global Services. Previously, he served as a Managing Director at KiranaTama. He manage and provide leadership and insight to the Board of Directors of the Walden Group.</t>
  </si>
  <si>
    <t>157954-69P</t>
  </si>
  <si>
    <t>J. Thomas Hurvis</t>
  </si>
  <si>
    <t>Hurvis</t>
  </si>
  <si>
    <t>J. Thomas</t>
  </si>
  <si>
    <t>Old World Industries</t>
  </si>
  <si>
    <t>+1 (847) 559-2000</t>
  </si>
  <si>
    <t>thurvis@oldworldind.com</t>
  </si>
  <si>
    <t>Northbrook, IL</t>
  </si>
  <si>
    <t>3100 North Sanders Road</t>
  </si>
  <si>
    <t>Northbrook</t>
  </si>
  <si>
    <t>60062</t>
  </si>
  <si>
    <t>Mr. J. Thomas Hurvis is a Co-Founder and serves as Chairman at Old World Industries. He is a Co-Founder and serves as Board Member at On Target Laboratories. He graduated from Lawrence University and received his MBA from the University of California-Berkley in 1969.</t>
  </si>
  <si>
    <t>129560-23P</t>
  </si>
  <si>
    <t>Jack Hsu</t>
  </si>
  <si>
    <t>Jack</t>
  </si>
  <si>
    <t>The Ivy Group</t>
  </si>
  <si>
    <t>+86 (0)10 8446 4189</t>
  </si>
  <si>
    <t>jack.hsu@ivygroup.org</t>
  </si>
  <si>
    <t>Gateway Plaza Tower B</t>
  </si>
  <si>
    <t>Unit 16B</t>
  </si>
  <si>
    <t>Chaoyang</t>
  </si>
  <si>
    <t>100027</t>
  </si>
  <si>
    <t>+86 (0)10 8446 4199</t>
  </si>
  <si>
    <t>Mr. Jack Hsu is the Founder and serves as Chief Executive Officer at The Ivy Group. One of his early endeavors was with the startup company Scopus Technology which he and the team took public on NASDAQ in 1994. Since then, he had also held leadership positions at several global management consulting firms, including Mitchell Madison Group and MMG Partners where he was a partner. He received his MBA from Columbia University, MS in Computer Science from University of Maryland, College Park, BS in EECS from University of California, Berkeley, and a certificate in Multiple Intelligences from WIDE/Harvard Graduate School of Education. He is Director of Capital Relationships at Landmark Capital.</t>
  </si>
  <si>
    <t>102185-47P</t>
  </si>
  <si>
    <t>Jackey Wang</t>
  </si>
  <si>
    <t>Jackey</t>
  </si>
  <si>
    <t>Tickle Labs</t>
  </si>
  <si>
    <t>Mr. Jackey Wang is a Co-Founder at Tickle Labs. She serves as Venture Partner at 500 Startups. A full-time entrepreneur, part-time world traveller. A proud graduate of UC Berkeley in engineering. Passionate about innovation and you can often find her tackling great problems everywhere. Jackey is the co-founder of Tickle Labs and now is the 500 Startups' venture partner in Taiwan.</t>
  </si>
  <si>
    <t>80724-52P</t>
  </si>
  <si>
    <t>Jaime Sastre</t>
  </si>
  <si>
    <t>Sastre</t>
  </si>
  <si>
    <t>Jaime</t>
  </si>
  <si>
    <t>Juniper Consulting</t>
  </si>
  <si>
    <t>+34 97 176 4415</t>
  </si>
  <si>
    <t>jaime.sastre@ejuniper.com</t>
  </si>
  <si>
    <t>Palma de Mallorca, Spain</t>
  </si>
  <si>
    <t>Gremi Fusters 33 - Office 302</t>
  </si>
  <si>
    <t>Palma de Mallorca</t>
  </si>
  <si>
    <t>07009</t>
  </si>
  <si>
    <t>+34 97 176 4182</t>
  </si>
  <si>
    <t>Mr. Jaime Sastre is the Founder and serves as the Chief Executive Officer at Juniper Consulting.</t>
  </si>
  <si>
    <t>35509-24P</t>
  </si>
  <si>
    <t>Jake Neuberg</t>
  </si>
  <si>
    <t>Neuberg</t>
  </si>
  <si>
    <t>Jake</t>
  </si>
  <si>
    <t>Revolution Prep</t>
  </si>
  <si>
    <t>+1 (877) 738-7737</t>
  </si>
  <si>
    <t>jake.neuberg@revolutionprep.com</t>
  </si>
  <si>
    <t>1337 3rd Street Promenade</t>
  </si>
  <si>
    <t>Mr. Jake Neuberg is a Co-Founder of Revolution Prep. He is also a Co-Founder at Revolution K12. Mr. Neuberg worked in investment banking at Montgomery Securities. After graduating, he worked in finance at Trust Company of the West. Jake then started teaching and mentoring by working as a test prep teacher at Kaplan. He holds an M.B.A. from the Anderson School of Business at the University of California, Los Angeles and a B.A. in Economics from the University of California, Berkeley. He serves on the UCLA Department of Economics Board of Visitors and is a member of the Santa Monica Bay Chapter of the Young Presidents' Organization.</t>
  </si>
  <si>
    <t>42955-12P</t>
  </si>
  <si>
    <t>James Kleckner Ph.D</t>
  </si>
  <si>
    <t>Kleckner</t>
  </si>
  <si>
    <t>James</t>
  </si>
  <si>
    <t>Co-Founder and Vice President of Analytics</t>
  </si>
  <si>
    <t>CloudPhysics</t>
  </si>
  <si>
    <t>+1 (650) 646-4616</t>
  </si>
  <si>
    <t>jim@cloudphysics.com</t>
  </si>
  <si>
    <t>3979 Freedom Circle</t>
  </si>
  <si>
    <t>Suite 540</t>
  </si>
  <si>
    <t>Dr. Jim Kleckner is a Co-Founder of CloudPhysics and serves as its Vice President of Analytics. He serves as Board Member at RAF Technology. Prior to this, he served as Vice President of Operations at CloudPhysics. Jim is a serial entrepreneur with a track record of successful technology companies including Cadence Design Systems, C*ATS Software and Currenex. He serves as a director on the boards of RAF Technology and Benetech, a technology non-profit serving humanity. Jim's passion is solving hard problems with excellent people. Jim earned his BS from Caltech and PhD in EECS from UC Berkeley under Richard Newton.</t>
  </si>
  <si>
    <t>91018-81P</t>
  </si>
  <si>
    <t>James Lee</t>
  </si>
  <si>
    <t>Workera</t>
  </si>
  <si>
    <t>+1 (650) 567-3636</t>
  </si>
  <si>
    <t>james@workera.ai</t>
  </si>
  <si>
    <t>Mr. James Lee is a Co-Founder and serves as Chief Operating Officer at Workera. Mr. Lee also serves as the Director of Business Development at LexisNexis Risk Solutions. He previously served as the Chief Operating Officer at Coplogic.</t>
  </si>
  <si>
    <t>62551-45P</t>
  </si>
  <si>
    <t>James Moon Ph.D</t>
  </si>
  <si>
    <t>Moon</t>
  </si>
  <si>
    <t>EVOQ Therapeutics</t>
  </si>
  <si>
    <t>1600 Huron Parkway</t>
  </si>
  <si>
    <t>48109</t>
  </si>
  <si>
    <t>Dr. James Moon is a Co-Founder &amp; serves as Chief Scientific Officer at EVOQ Therapeutics.</t>
  </si>
  <si>
    <t>106732-09P</t>
  </si>
  <si>
    <t>James Williams</t>
  </si>
  <si>
    <t>Williams</t>
  </si>
  <si>
    <t>Founder, President, Chief Executive Officer &amp; Board Member</t>
  </si>
  <si>
    <t>MustHaveMenus</t>
  </si>
  <si>
    <t>+1 (800) 452-2234</t>
  </si>
  <si>
    <t>jim@musthavemenus.com</t>
  </si>
  <si>
    <t>Ashland, OR</t>
  </si>
  <si>
    <t>180 Lithia Way</t>
  </si>
  <si>
    <t>Suite 202</t>
  </si>
  <si>
    <t>Ashland</t>
  </si>
  <si>
    <t>97520</t>
  </si>
  <si>
    <t>Mr. James Williams is the Founder at MustHaveMenus and also serves as its President, Chief Executive Officer &amp; Board Member. He is a Co-Founder at Sharefaith and also serves as its Chairman.</t>
  </si>
  <si>
    <t>46850-95P</t>
  </si>
  <si>
    <t>Jason Wu</t>
  </si>
  <si>
    <t>Jason</t>
  </si>
  <si>
    <t>Vice President, Engineering and Market Intelligence</t>
  </si>
  <si>
    <t>TapClicks</t>
  </si>
  <si>
    <t>+1 (866) 775-4184</t>
  </si>
  <si>
    <t>jason@adstage.io</t>
  </si>
  <si>
    <t>3031 Tisch Way</t>
  </si>
  <si>
    <t>95128</t>
  </si>
  <si>
    <t>Mr. Jason Wu serves as Vice President, Engineering and Market Intelligence at TapClicks. He is a Co-Founder and serves as Chief Technology Officer at AdStage. He graduated from UC Berkeley EECS with high honors and worked at Cisco for 3 years while pursuing his Master's in ECE (with an emphasis on security) at Carnegie Mellon.</t>
  </si>
  <si>
    <t>99671-86P</t>
  </si>
  <si>
    <t>Jeffrey Drezner Ph.D</t>
  </si>
  <si>
    <t>Drezner</t>
  </si>
  <si>
    <t>Jeffrey</t>
  </si>
  <si>
    <t>Founder and Managing Director</t>
  </si>
  <si>
    <t>Clinical Care Options</t>
  </si>
  <si>
    <t>+1 (855) 224-2241</t>
  </si>
  <si>
    <t>Reston, VA</t>
  </si>
  <si>
    <t>12001 Sunrise Valley Drive</t>
  </si>
  <si>
    <t>Reston</t>
  </si>
  <si>
    <t>20191</t>
  </si>
  <si>
    <t>Dr. Jeffrey Drezner is the Founder and serves as Managing Director at Clinical Care Options. He also serves as Board Member at Lightshed Healthcare Technologies.</t>
  </si>
  <si>
    <t>43540-66P</t>
  </si>
  <si>
    <t>Jeffrey Heer Ph.D</t>
  </si>
  <si>
    <t>Heer</t>
  </si>
  <si>
    <t>Co-Founder &amp; Chief Experience Officer</t>
  </si>
  <si>
    <t>Trifacta</t>
  </si>
  <si>
    <t>+1 (844) 332-2821</t>
  </si>
  <si>
    <t>jeffrey.heer@trifacta.com</t>
  </si>
  <si>
    <t>575 Market Street</t>
  </si>
  <si>
    <t>Dr. Heer is a Co-Founder &amp; the Chief Experience Officer of Trifacta. Jeff is also an Assistant Professor of Computer Science at Stanford University, where he directs the Stanford Visualization Group. eff's passion is the design of novel user interfaces for exploring, managing and communicating data. The data visualization tools developed by his lab (D3.js, Protovis, Prefuse) are used by thousands of data enthusiasts around the world. In 2009, Jeff was named to MIT Technology Review's list of "Top Innovators under 35".</t>
  </si>
  <si>
    <t>40209-58P</t>
  </si>
  <si>
    <t>Joey Primiani</t>
  </si>
  <si>
    <t>Primiani</t>
  </si>
  <si>
    <t>Joey</t>
  </si>
  <si>
    <t>Cortex</t>
  </si>
  <si>
    <t>Mr. Joey Primiani is a Co-Founder and serves as Designer at Entangled: The Consciousness App. He is an Advisor at Retinad. He is founder and CEO at Superfuture Labs, a mobile design studio in downtown Palo Alto, California. Superfuture Labs' mission is to advance humanity through technology, art and design. Superfuture is the creator of the popular mobile apps such as Life, Sketch, Kiwi and Spaces. Life is the latest product that is working on AI detection to see what one is doing like brushing teeth or eating then instantly matching people doing the same thing at the same moment, creating shared live experiences. Adhering to design principles that make the products both a tool and a toy - beautiful, simple, fun, playful and friendly. He holds the patent for "Content sharing application utilizing radial menus". He serves on the board of fashion technology company Studio XO and advises the IceBreak, Collective Consciousness app Entangled, Retinad VR, and astronaut training facility Star Harbor Academy. Prior to Superfuture, he co-founded the company Backplane, a platform that allows like-minded people to connect across their shared interests. He created Lady Gaga's official fan community website, LittleMonsters.com. Viewed by millions on a monthly basis, it is a place where fans can come together and share their artwork and stories.</t>
  </si>
  <si>
    <t>160026-76P</t>
  </si>
  <si>
    <t>John Foster</t>
  </si>
  <si>
    <t>Foster</t>
  </si>
  <si>
    <t>Aiqudo</t>
  </si>
  <si>
    <t>jfoster@aiqudo.com</t>
  </si>
  <si>
    <t>Campbell, CA</t>
  </si>
  <si>
    <t>1901 South Bascom Avenue</t>
  </si>
  <si>
    <t>Suite 1220</t>
  </si>
  <si>
    <t>Campbell</t>
  </si>
  <si>
    <t>95008</t>
  </si>
  <si>
    <t>Mr. John Foster is a Co-Founder and serves as the Chief Executive Officer and Board Member at Aiqudo. He served as the Chief Executive Officer and Board Member at Quixey. Prior to this, he was President and Regional Director of Zed USA where he led a strategic reboot for the US and global business to address the disruptive technology shift to smartphones. Past roles include the highly successful turnaround of InfoSpace, Inc. (NASDAQ INSP), where he was responsible for corporate strategy and mergers and acquisition activities, leading the company through a strategic transformation that resulted in InfoSpace becoming the largest North American mobile content provider as well as a leading player in online local search. Prior to InfoSpace, John has held leadership roles in a number of pioneering technology companies, including RealNetworks, the originator of streaming media, and NextLink Communications, a CLEC founded by Craig McCaw. His career also includes positions as Chief Financial Officer of Dillon Read Venture Capital and as a consultant with Price Waterhouse. John has a BA in English from the University of California at Berkeley and an MBA from the Stanford Graduate School of Business.</t>
  </si>
  <si>
    <t>43059-70P</t>
  </si>
  <si>
    <t>John Joannopoulos Ph.D</t>
  </si>
  <si>
    <t>Joannopoulos</t>
  </si>
  <si>
    <t>Advisor &amp; Co-Founder</t>
  </si>
  <si>
    <t>Lux Labs</t>
  </si>
  <si>
    <t>+1 (860) 885-4885</t>
  </si>
  <si>
    <t>One Boston Place, Suite 1700</t>
  </si>
  <si>
    <t>201 Washington Street</t>
  </si>
  <si>
    <t>02108</t>
  </si>
  <si>
    <t>Dr. John D. Joannopoulos is a Co-Founder and serves as Advisor at Lux Labs. He is also a Co-Founder and serves as Advisor at WiTricity. He is a Professor of Physics at MIT, and was awarded the Francis Wright Davis Chair in 1996. He received his B.A. and Ph.D. in Physics from the University of California, Berkeley. He has been on the Faculty of Physics at the Massachusetts Institute of Technology as Assistant Professor of Physics (1974), Associate Professor of Physics (1978), Professor of Physics (1983). He has served as Divisional Associate Editor of Physical Review Letters, member of the Editorial Board of Reviews of Modern Physics, and was appointed as the Director of the Institute for Soldier Nanotechnologies in 2006.</t>
  </si>
  <si>
    <t>102313-63P</t>
  </si>
  <si>
    <t>John Kodumal Ph.D</t>
  </si>
  <si>
    <t>Kodumal</t>
  </si>
  <si>
    <t>LaunchDarkly</t>
  </si>
  <si>
    <t>+1 (415) 579-3275</t>
  </si>
  <si>
    <t>john@launchdarkly.com</t>
  </si>
  <si>
    <t>1999 Harrison Street</t>
  </si>
  <si>
    <t>Dr. John Kodumal is a Co-Founder and serves as Chief Technology Officer at LaunchDarkly. He was a development manager at Atlassian, where he led engineering for the Atlassian Marketplace. Prior to that he was an architect at Coverity, where he worked on static and dynamic analysis algorithms. He has a Ph.D. from UC Berkeley in programming languages and type systems, and a BS from Harvey Mudd College. He climbs rocks, ice, small boulders, and the occasional building. He serves as an Advisor at Sym.</t>
  </si>
  <si>
    <t>55530-37P</t>
  </si>
  <si>
    <t>John Larson</t>
  </si>
  <si>
    <t>Larson</t>
  </si>
  <si>
    <t>Founder &amp; Executive Chairman</t>
  </si>
  <si>
    <t>Triumph Higher Education Group</t>
  </si>
  <si>
    <t>+1 (224) 698-2150</t>
  </si>
  <si>
    <t>jlarson@triumpheducation.com</t>
  </si>
  <si>
    <t>Hoffman Estates, IL</t>
  </si>
  <si>
    <t>2800 West Higgins Road</t>
  </si>
  <si>
    <t>Suite 835</t>
  </si>
  <si>
    <t>Hoffman Estates</t>
  </si>
  <si>
    <t>60169</t>
  </si>
  <si>
    <t>Mr. John Larson is the Founder and serves as Executive Chairman at Triumph Higher Education Group. He served as the Chief Executive Officer at Triumph Higher Education Group. He is the founder of Career Education Corporation (NASDAQ: CECO), one of the world's largest on-campus providers of private, for-profit postsecondary education, and the second largest online education company in its sector. Jack served as President, CEO and a member of the company's Board of Directors from its inception in 1994 through 2006, served as Chairman of the Board from 2000 to 2006, and continues as Chairman Emeritus. Under his leadership, CECO acquired renowned brands, including Le Cordon Bleu Schools North America, and pioneered its unique virtual campus used in several highly successful, fully online platforms. Currently, Jack is President of Triumph Group, Inc., which holds interests in and advises both domestic and international education companies. Jack is an advisor and investor in companies in Malaysia and India, and is Chairman of the Board of Asian Education Investment, Ltd. Jack was one of Ernst &amp; Young's "Entrepreneurs of the Year" in 2000. In 2006, he was inducted into the "Haas Hall of Fame," at the Haas School of Business, University of California at Berkeley, and currently serves on Haas' advisory board. He holds a BS in Business Administration from the University of California at Berkeley.</t>
  </si>
  <si>
    <t>119680-21P</t>
  </si>
  <si>
    <t>John Powers</t>
  </si>
  <si>
    <t>Powers</t>
  </si>
  <si>
    <t>Extensible Energy</t>
  </si>
  <si>
    <t>+1 (510) 225-9329</t>
  </si>
  <si>
    <t>john@extensibleenergy.com</t>
  </si>
  <si>
    <t>2120 University Avenue</t>
  </si>
  <si>
    <t>Mr. John Powers is a Co-Founder &amp; serves as Chief Executive Officer at Extensible Energy. He serves as Board Member at UtilityAPI. Mr. Powers is an energy expert with more than 25 years of industry experience. He has led both consulting and technology firms in energy economics, engineering, and operations. As founder and CEO of Energy Interactive, he led a team that introduced path-breaking Web-based energy information services to electric utilities and their customers. He directed the development of the industry's most advanced pricing tools, as well as the most extensive library of electric utility rates. Mr. Powers led Energy Interactive to a successful acquisition by ABB, where he served as worldwide Director of Retail Software. Prior to EI and ABB, Mr. Powers was Senior Vice President of Software and Consulting Services at Quantum Consulting (QC). At QC, he directed a team of 75 professionals in economic, statistical, and engineering analysis of customer energy usage patterns for utilities around the world.</t>
  </si>
  <si>
    <t>46730-08P</t>
  </si>
  <si>
    <t>Jonathan Underwood</t>
  </si>
  <si>
    <t>Underwood</t>
  </si>
  <si>
    <t>Seedpay</t>
  </si>
  <si>
    <t>+1 (503) 708-0086</t>
  </si>
  <si>
    <t>jon@seedpay.com</t>
  </si>
  <si>
    <t>Santa Cruz, CA</t>
  </si>
  <si>
    <t>The Old Sash Mill</t>
  </si>
  <si>
    <t>303 Potrero Street, uilding 43, Suite 204</t>
  </si>
  <si>
    <t>Santa Cruz</t>
  </si>
  <si>
    <t>95060</t>
  </si>
  <si>
    <t>Mr. Jonathan Underwood is the Founder and serves as Chief Executive Officer at Seedpay. Mr. Jonathan Underwood is a Co-Founder of Coupay Holdings and also serves as its Chief Executive Officer.</t>
  </si>
  <si>
    <t>104740-75P</t>
  </si>
  <si>
    <t>Kamal Duggirala</t>
  </si>
  <si>
    <t>Duggirala</t>
  </si>
  <si>
    <t>Kamal</t>
  </si>
  <si>
    <t>Alpha Omega Financial Systems</t>
  </si>
  <si>
    <t>+1 (415) 295-4454</t>
  </si>
  <si>
    <t>kamal.duggirala@ao-fs.com</t>
  </si>
  <si>
    <t>1569 Solano Avenue</t>
  </si>
  <si>
    <t>Suite 345</t>
  </si>
  <si>
    <t>94707</t>
  </si>
  <si>
    <t>Mr. Kamal Duggirala is a Co-Founder at Alpha Omega Financial Systems and also serves as its Chief Executive Officer &amp; Board Member. He is a pioneer in electronic trading, brings over 25 years of experience to Alpha Omega. Prior to co-founding the Firm, Kamal was the Chief Executive Officer of Barra, Inc., the leading provider of portfolio risk management analytics worldwide. Barra's client base of over 1,000 leading financial institutions around the globe included the majority of the world's largest asset managers, broker/dealers and pension funds. Under Kamal's leadership, Barra developed the first enterprise risk management system for asset managers and pension funds. Kamal was also responsible for the design and implementation of the POSIT system, which became the leading portfolio trading system for asset managers. He also led the development of real-time options and equity trading systems for broker/dealers in Europe and Japan.</t>
  </si>
  <si>
    <t>63119-44P</t>
  </si>
  <si>
    <t>Kenneth Chan</t>
  </si>
  <si>
    <t>Chan</t>
  </si>
  <si>
    <t>Kenneth</t>
  </si>
  <si>
    <t>Founding Engineer &amp; Co-Founder</t>
  </si>
  <si>
    <t>PredictionIO</t>
  </si>
  <si>
    <t>kahou.chan@prediction.io</t>
  </si>
  <si>
    <t>Mr. Kenneth Chan is a Co-Founder and serves as Founding Engineer at PredictionIO. He also serves as an Director, Product Management, Einstein at Salesforce.com.</t>
  </si>
  <si>
    <t>152443-63P</t>
  </si>
  <si>
    <t>Kieren Patel Ph.D</t>
  </si>
  <si>
    <t>Kieren</t>
  </si>
  <si>
    <t>Opticent Health</t>
  </si>
  <si>
    <t>+1 (310) 625-2046</t>
  </si>
  <si>
    <t>kpatel@opticenthealth.com</t>
  </si>
  <si>
    <t>Evanston, IL</t>
  </si>
  <si>
    <t>820 Davis Street</t>
  </si>
  <si>
    <t>Suite 128</t>
  </si>
  <si>
    <t>Evanston</t>
  </si>
  <si>
    <t>60201</t>
  </si>
  <si>
    <t>Dr. Kieren Patel is a Co-Founder of Opticent Health and also serves as its Chief Executive Officer. He serves as an Advisor at Willis &amp; Smith Capital. Dr. Patel is a technology entrepreneur and Opticent Health's team lead. He was formerly a Scientific Advisor in the Palo Alto office of Wilson, Sonsini Goodrich &amp; Rosati where his primary focus was patent prosecution and due diligence in the fields of biotechnology, personal genomics, and therapeutics. Dr. Patel received his Ph.D. from the University of California at Berkeley in Molecular and Cell Biology, completing his thesis on the functional and structural characterization of mitotic spindle protein complexes. He received his B.A. from Cornell University, and his J.D. and M.B.A., respectively, from Northwestern University School of Law and Kellogg School of Management.</t>
  </si>
  <si>
    <t>85053-16P</t>
  </si>
  <si>
    <t>Klaus Schauser Ph.D</t>
  </si>
  <si>
    <t>Schauser</t>
  </si>
  <si>
    <t>Klaus</t>
  </si>
  <si>
    <t>AppFolio</t>
  </si>
  <si>
    <t>+1 (866) 648-1536</t>
  </si>
  <si>
    <t>Goleta, CA</t>
  </si>
  <si>
    <t>50 Castilian Drive</t>
  </si>
  <si>
    <t>Goleta</t>
  </si>
  <si>
    <t>+1 (805) 617-2167</t>
  </si>
  <si>
    <t>Mr. Klaus Schauser is a Co-Founder serves as the Chief Strategist &amp; Board Member at AppFolio. He served as Board Member at UCode. In 2006, Klaus, along with Jon Walker, founded AppFolio with the mission to revolutionize the way small and medium-sized businesses grow and compete by enabling their digital transformation. Today Klaus brings his enthusiasm, leadership and experience to the team as he validates vertical market offerings and sets the strategy for the future. Prior to AppFolio, Klaus co-founded Citrix Online (merged with LogMeIn, Inc.) providers of secure, easy-to-use cloud-based solutions that enable people to work from anywhere with anyone. From 1999 through 2006, Klaus served as Chief Technology Officer and was the visionary behind GoToMyPC, GoToAssist, and GoToMeeting. He led the teams responsible for building the products and their secure, reliable SaaS infrastructure. As a Professor of Computer Science at the University of California, Santa Barbara, Klaus is a widely-published research scientist with extensive experience developing scalable, highly parallel computing environments. Klaus holds a Ph.D. from the University of California, Berkeley and has received numerous academic awards.</t>
  </si>
  <si>
    <t>46251-10P</t>
  </si>
  <si>
    <t>Kuang Chen Ph.D</t>
  </si>
  <si>
    <t>Kuang</t>
  </si>
  <si>
    <t>Antara Health</t>
  </si>
  <si>
    <t>+1 (917) 267-7454</t>
  </si>
  <si>
    <t>kuang@antarahealth.com</t>
  </si>
  <si>
    <t>Sanford, NC</t>
  </si>
  <si>
    <t>500 Wendover Drive</t>
  </si>
  <si>
    <t>Suite 14223</t>
  </si>
  <si>
    <t>Sanford</t>
  </si>
  <si>
    <t>North Carolina</t>
  </si>
  <si>
    <t>27330</t>
  </si>
  <si>
    <t>Dr. Kuang Chen is a Co-Founder &amp; serves as Chief Technology Officer &amp; Board Member at Antara Health. He is a Co-Founder and serves as Board Member at Vidado. The idea for Captricity came from Kuang's PhD dissertation. His research focused on data-centric approaches to increase the efficiency of low-resource organizations, so they can better serve their disadvantaged clients. While doing research in Tanzania and Uganda, he experienced firsthand the importance and difficulty of transforming data from paper forms to computable formats. He holds a PhD in Computer Science from UC Berkeley, a BS in Computer Science and a BA in the Comparative History of Ideas from the University of Washington.</t>
  </si>
  <si>
    <t>101559-34P</t>
  </si>
  <si>
    <t>Leslie Durschinger</t>
  </si>
  <si>
    <t>Durschinger</t>
  </si>
  <si>
    <t>Leslie</t>
  </si>
  <si>
    <t>Founder, Chief Executive Officer &amp; Chief Information Officer</t>
  </si>
  <si>
    <t>Terra Global Capital</t>
  </si>
  <si>
    <t>+1 (415) 215-5941</t>
  </si>
  <si>
    <t>leslie.durschinger@terraglobalcapital.com</t>
  </si>
  <si>
    <t>1948 Green Street</t>
  </si>
  <si>
    <t>94123</t>
  </si>
  <si>
    <t>Ms. Leslie Durschinger is the Founder and also serves as Chief Executive Officer and Chief Information Officer at Terra Global Capital. She served as the Managing Director at Terra Global Capital. Leveraging 20 years of experience and a proven track record in the financial services industry, Ms. Durschinger founded Terra Global Capital in 2006 to promote results-based approaches to community-led forest and land-use emission reductions programs. Ms Durschinger is recognized as a pioneer and innovator in alignment of development values and financially viable approaches to sustainable landscape management. Terra is now the leader in forest and land-use emission reductions program development, GHG analytics and finance, providing technical expertise and investment capital to their global client base of governments, NGOs, and private companies in a collaborative and participatory manner. Prior to Terra, Ms. Durschinger held senior management positions in the areas of derivatives trading, investment advisory, algorithmic trading, risk management, and securities lending. She is a member of the Verified Carbon Standard (VCS) AFOLU Steering Committee, REDD+ Social &amp; Environmental Standards Committee, VCS JNR Permanence Work Group, Coalition on Agricultural Greenhouse (C-AGG) Advisory Committee and W+ Standard Advisory Council. Among her previous employers are JP Morgan, Merrill Lynch, Barclays Global Investors and Charles Schwab.</t>
  </si>
  <si>
    <t>111138-49P</t>
  </si>
  <si>
    <t>Liat Aaronson</t>
  </si>
  <si>
    <t>Aaronson</t>
  </si>
  <si>
    <t>Liat</t>
  </si>
  <si>
    <t>Investment Committee Member</t>
  </si>
  <si>
    <t>SeedIL Ventures</t>
  </si>
  <si>
    <t>liat.aaronson@seedil.com</t>
  </si>
  <si>
    <t>Herzliya, Israel</t>
  </si>
  <si>
    <t>Medinat HaYehudim 62</t>
  </si>
  <si>
    <t>Herzliya</t>
  </si>
  <si>
    <t>Israel</t>
  </si>
  <si>
    <t>Ms. Liat Aaronson serves as Investment Committee Member at SeedIL Ventures. She is a Co-Founder and serves as its Chief Strategy officer at Horizen Labs. She also served as Partner at Marker. She primarily works out of our Herzliya, Israel office. Prior to joining Marker, she was the Executive Director of the Zell Entrepreneurship Program at The Interdisciplinary Center (IDC) in Herzliya. Before joining IDC in 2005, she practiced law at Naschitz, Brandes and Co., a leading Israeli law firm, where she focused on corporate law and Merger and Acquisition and represented venture capital firms, investors, technology companies and start-ups. She holds a B.A. (cum laude) from the University of California at Berkeley, an LL.B. and MBA from Tel Aviv University and an LL.M. in European law from the University of Leiden in the Netherlands (cum laude). She became a member of the Israel Bar Association in 1999. She was until recently the COO of Selina Hospitality. She was a Partner at Marker LLC, a leading Israel-New York based venture capital firm, where she continues to oversee their follow-on annex fund. Prior to joining Marker, she was the Executive Director of the Zell Entrepreneurship Program at IDC. The innovative venture creation program she helped grow and develop in the ten years of her leadership allows undergraduates in their final year of study at IDC to experience entrepreneurship hands-on taking ideas and developing them in to funded startups. Many successful companies, including Gift's Project, Wibiya, Wibbitz, Bizzabo and Argus were founded out of the program. She holds a B.A. in political economy of industrial societies (economics and political science, cum laude) from the University of California at Berkeley, an LL.B. and MBA from Tel Aviv University, and an LL.M. in European law from the University of Leiden in the Netherlands (cum laude). She became a member of the Israel Bar Association in 1999, after completing her internship at Kantor, Elhanani, Tal &amp; Co. She attained practical experience in mergers and acquisitions and new ventures, as an associate attorney at Naschitz, Brandes &amp; Co., a position she held until joining IDC Herzliya in 2005., where she helped grow the program and the startups that came out of it. Today she remains involved as chairwoman of Zell and is the director of the ZEP Fund LTD. She is a board member at Rewire, Glide, Duality and at the Infinity Pension Funds, a board observer at Victorious and is a member of Friends of IDC's advisory board. She is on the advisory boards of: SeedIL, Cockpit Innovation Hub, Taglit Excel Ventures, Ramle Innovation Hub, WiSe, Weizman Institute's entrepreneurship program and Scola, the 81 Unit entrepreneurship program.</t>
  </si>
  <si>
    <t>65943-46P</t>
  </si>
  <si>
    <t>Lior Abraham</t>
  </si>
  <si>
    <t>Abraham</t>
  </si>
  <si>
    <t>Lior</t>
  </si>
  <si>
    <t>Interana</t>
  </si>
  <si>
    <t>+1 (844) 426-4678</t>
  </si>
  <si>
    <t>lior@interana.com</t>
  </si>
  <si>
    <t>305 Walnut Street</t>
  </si>
  <si>
    <t>Mr. Lior Abraham is a Co-Founder at Interana. He was the Senior Software Engineer at Facebook. He serves as venture partner at Pioneer Fund (San Francisco).</t>
  </si>
  <si>
    <t>101994-94P</t>
  </si>
  <si>
    <t>Lisheng Wang</t>
  </si>
  <si>
    <t>Lisheng</t>
  </si>
  <si>
    <t>Co-Founder and Investor Development Executive</t>
  </si>
  <si>
    <t>Propel(x)</t>
  </si>
  <si>
    <t>+1 (415) 935-0554</t>
  </si>
  <si>
    <t>lisheng@propelx.com</t>
  </si>
  <si>
    <t>755 Sansome Street</t>
  </si>
  <si>
    <t>Mr. Lisheng Wang is a Co-Founder and serves as Investor Development Executive at Propel(x). Lisheng has a background of 15 years in financial services, management consulting, and IT. His resume includes risk management at Wells Fargo, corporate strategy at KeyBank, consulting at The World Bank and Public Strategies, and software engineering at Microsoft. Lisheng co-founded the MIT Alumni Angels Group with Swati, where he currently serves on the steering committee. Lisheng has an M.S. in Technology and Policy from MIT and a B.S. in Chemistry from Fudan University in China. He is a huge fan of soccer and basketball, enjoys reading, and loves traveling with his wife and two young kids. He is devoted to community service and is on the Board of Trustees at Montessori de Terra Linda.</t>
  </si>
  <si>
    <t>144083-26P</t>
  </si>
  <si>
    <t>Luke Johnson</t>
  </si>
  <si>
    <t>Johnson</t>
  </si>
  <si>
    <t>Luke</t>
  </si>
  <si>
    <t>Neat Capital</t>
  </si>
  <si>
    <t>+1 (888) 210-5232</t>
  </si>
  <si>
    <t>lukejohnson@neatcapital.com</t>
  </si>
  <si>
    <t>2560 55th Street</t>
  </si>
  <si>
    <t>Suite 101</t>
  </si>
  <si>
    <t>80301</t>
  </si>
  <si>
    <t>Mr. Luke Johnson is a Co-Founder and serves as President, Chief Executive Officer and Board Member at Neat Capital. His unique breadth of knowledge across the mortgage vertical was developed from on-site evaluations of many of the largest residential mortgage originators, servicers and RMBS issuers in the United States. Mr. Johnson has evaluated the performance of bank executive teams, performed detailed reviews of mortgage origination and securitization operations, investigated regulatory and compliance issues and provided insightful analysis of loan performance to institutional investors. Mr. Johnson also holds a strong track record in developing and executing a growth strategy. Mr. Johnson's former position includes as the corporate development executive for a $4 billion enterprise, he led an impressive array of accretive buy-side and sell-side M&amp;A transactions in the US and Latin America. He holds an MBA with honors from the University of California, Berkeley - Walter A. Haas School of Business and a Finance degree from Tulane University.</t>
  </si>
  <si>
    <t>84842-65P</t>
  </si>
  <si>
    <t>Mahmoud Hafez</t>
  </si>
  <si>
    <t>Hafez</t>
  </si>
  <si>
    <t>Mahmoud</t>
  </si>
  <si>
    <t>Co-Founder &amp; Chief Product Officer</t>
  </si>
  <si>
    <t>DocuVision</t>
  </si>
  <si>
    <t>mahmoud@redacted.ai</t>
  </si>
  <si>
    <t>2150 Shattuck Avenue, PH</t>
  </si>
  <si>
    <t>Mr. Mahmoud Hafez is a Co-Founder and serves as Chief Product Officer at DocuVision. He serves as Managing Editor at AppAdvice.Together with Alex Craig, he built AppAdvice, a leading IOS app recommendation company. He pursued Economics and Business at UC Berkeley.</t>
  </si>
  <si>
    <t>51588-91P</t>
  </si>
  <si>
    <t>Manoj Goyal</t>
  </si>
  <si>
    <t>Goyal</t>
  </si>
  <si>
    <t>Manoj</t>
  </si>
  <si>
    <t>CIPIO</t>
  </si>
  <si>
    <t>manoj@cipio.ai</t>
  </si>
  <si>
    <t>Fairfax, VA</t>
  </si>
  <si>
    <t>Fairfax</t>
  </si>
  <si>
    <t>Mr. Manoj Goyal is a Co-Founder and serves as Chief Product Officer at CIPIO. He served as the Chief Operating Officer at Velocify. He also served as Senior Vice President of Engineering at OpenX. Prior to OpenX, Manoj served as executive director/general manager at HP where he introduced the massive scale Hadoop and HANA database solutions capable of handling multi-petabyte data and generated more than $100 million in revenue in fiscal year 2012. He also managed a globally distributed team of hundreds of engineers. Prior to HP, he was vice president, engineering, at Documentum (subsequently acquired by EMC Corporation) where he was an early innovator in Big Data. He was also an early Internet technology pioneer at Sun Microsystems. during the period in which Java was created. Manoj earned his B.S. in Computer Science and B.A in Economics from the University of California, San Diego and his M.S. in Computer Science from the University of Southern California. He is an Angel Investor.</t>
  </si>
  <si>
    <t>80047-18P</t>
  </si>
  <si>
    <t>Margaret Kavalaris JD</t>
  </si>
  <si>
    <t>Kavalaris</t>
  </si>
  <si>
    <t>Margaret</t>
  </si>
  <si>
    <t>Co-Founder, Chief Legal Officer &amp; Board Member</t>
  </si>
  <si>
    <t>TerViva</t>
  </si>
  <si>
    <t>+1 (510) 241-2639</t>
  </si>
  <si>
    <t>margaret.kavalaris@terviva.com</t>
  </si>
  <si>
    <t>436 14th Street</t>
  </si>
  <si>
    <t>Suite 1405</t>
  </si>
  <si>
    <t>Ms. Margaret Kavalaris is a Co-Founder and serves as Board Member and Chief Legal Officer at Terviva. She also serves as a Board of Trustees at Astia. She is a new venture attorney and serial entrepreneur, most recently as co-founder of PayMo (now Boku, one of the Wall Street Journal's top 25 startups since 2011). As a corporate attorney for the past 20 years, she has worked on a variety of venture financings, mergers and acquisitions and public offerings. Maggie practices law at Dentons, where she is Managing Partner of the Silicon Valley office. Maggie received her J.D. from the University of San Francisco in 1981. She earned her B.A. from the University of California Berkeley in 1977, where she was elected to membership in the Pyrtanean Honor Society and the Order of the Golden Bear. She also serves as a Board Member at Astia.</t>
  </si>
  <si>
    <t>32710-69P</t>
  </si>
  <si>
    <t>Maria Sendra JD</t>
  </si>
  <si>
    <t>Sendra</t>
  </si>
  <si>
    <t>Maria</t>
  </si>
  <si>
    <t>Weal Life</t>
  </si>
  <si>
    <t>+1 (858) 314-1122</t>
  </si>
  <si>
    <t>Suite105, Impact Hub</t>
  </si>
  <si>
    <t>+1 (858) 314-1150</t>
  </si>
  <si>
    <t>Ms. Maria Sendra is a Co-Founder and serves as Board Member at Weal Life. She also served as Partner at Dentons. She serves as Partner, Private Equity at Jones Day. She also serves as Board Member at Weal Life. Prior to Jones day she chaired Baker &amp; McKenzie's Southern California Corporate and Securities Practice and was co-chair of the North America Life Sciences M&amp;A subcommittee. She served on the Global Life Sciences Transaction committee and the North America Pharmaceutical and Healthcare Industry Group Steering Committee. Ms. Sendra also served on the Private Equity Steering Committee and headed the group's cleantech and climate change initiatives.</t>
  </si>
  <si>
    <t>41455-99P</t>
  </si>
  <si>
    <t>Matt Mireles</t>
  </si>
  <si>
    <t>Mireles</t>
  </si>
  <si>
    <t>Matt</t>
  </si>
  <si>
    <t>Dishcraft Robotics</t>
  </si>
  <si>
    <t>+1 (888) 231-3318</t>
  </si>
  <si>
    <t>matt@dishcraft.com</t>
  </si>
  <si>
    <t>611 Taylor Way</t>
  </si>
  <si>
    <t>Unit 1</t>
  </si>
  <si>
    <t>Mr. Matt Mireles is a Co-Founder of Dishcraft Robotics. He is a Co-Founder and serves as the Chief Executive Officer of Talkpresent. He was the Chief Executive Officer and a Co-Founder of Humanoid. He was the Chief Executive Officer and a Co-Founder of Humanoid. He is an honors graduate of Columbia University and has received management training from the Stanford Graduate School of Business.</t>
  </si>
  <si>
    <t>246608-92P</t>
  </si>
  <si>
    <t>Matthew Baggott Ph.D</t>
  </si>
  <si>
    <t>Baggott</t>
  </si>
  <si>
    <t>Matthew</t>
  </si>
  <si>
    <t>Tactogen</t>
  </si>
  <si>
    <t>mbaggott@tactogen.com</t>
  </si>
  <si>
    <t>255 Constitution Drive</t>
  </si>
  <si>
    <t>Suite B-1077</t>
  </si>
  <si>
    <t>Dr. Matthew Baggott is a Co-Founder &amp; serves as Chief Executive Officer at Tactogen. He worries that these medicines may only be accessible to the affluent and that prescription psychedelics could worsen health inequalities. He created Tactogen to ensure the healing experience of connection and acceptance is safe, effective, and accessible to all. Matt concentrates on IP, product roadmap, regulatory strategy, and scientific community-building.</t>
  </si>
  <si>
    <t>35559-19P</t>
  </si>
  <si>
    <t>Matthew Ferguson</t>
  </si>
  <si>
    <t>Ferguson</t>
  </si>
  <si>
    <t>Chief Financial Officer, Finance &amp; Chief Accounting Officer, Accounting</t>
  </si>
  <si>
    <t>Aziyo Biologics</t>
  </si>
  <si>
    <t>+1 (650) 241-7917</t>
  </si>
  <si>
    <t>mferguson@avinger.com</t>
  </si>
  <si>
    <t>Silver Spring, MD</t>
  </si>
  <si>
    <t>12510 Prosperity Drive</t>
  </si>
  <si>
    <t>Suite 370</t>
  </si>
  <si>
    <t>Silver Spring</t>
  </si>
  <si>
    <t>Maryland</t>
  </si>
  <si>
    <t>20904</t>
  </si>
  <si>
    <t>+1 (510) 307-9896</t>
  </si>
  <si>
    <t>Matthew Ferguson has served as our Chief Financial Officer since September 2020. Prior to joining us, Mr. Ferguson served as Chief Financial Officer for Bossa Nova Robotics, a privately held robotics company serving major retailors, from September 2018 to July 2020. From January 2011 to August 2018, Mr. Ferguson held various management positions, including Chief Financial Officer, Chief Business Officer and Co-President, at Avinger, Inc., a publicly traded cardiovascular medical device company. From 2009 to 2010, Mr. Ferguson served as Chief Financial Officer at Tethys Bioscience, a provider of molecular diagnostic tests for cardiometabolic conditions. From 2008 to 2009, Mr. Ferguson served as the Chief Financial Officer at Proteolix, a biotechnology company developing treatments for cancer and autoimmune diseases. Mr. Ferguson also served as the Chief Financial Officer and Vice President of Finance and Business Development at FoxHollow Technologies, a publicly traded medical device company, from 2002 through its merger with ev3 in 2007. Mr. Ferguson holds an M.B.A. from the University of California at Berkeley, an M.S. in Mechanical Engineering from the University of Pennsylvania and a B.S. in Civil Engineering from Stanford University.</t>
  </si>
  <si>
    <t>75973-15P</t>
  </si>
  <si>
    <t>Mazen Jabban</t>
  </si>
  <si>
    <t>Jabban</t>
  </si>
  <si>
    <t>Mazen</t>
  </si>
  <si>
    <t>Focus Investment Group</t>
  </si>
  <si>
    <t>+1 (212) 798-6150</t>
  </si>
  <si>
    <t>mazen.jabban@focusg.com</t>
  </si>
  <si>
    <t>Hamilton, Bermuda</t>
  </si>
  <si>
    <t>New Venture House, 3 Mill Creek Road</t>
  </si>
  <si>
    <t>3rd Floor, Suite 8, Pembroke</t>
  </si>
  <si>
    <t>Hamilton</t>
  </si>
  <si>
    <t>HM 05</t>
  </si>
  <si>
    <t>Bermuda</t>
  </si>
  <si>
    <t>+1 (408) 317-2255</t>
  </si>
  <si>
    <t>Mr. Mazen Jabban is the Founder of Focus Investment Group and serves as its Chairman &amp; Chief Executive Officer. He is also the Founder of VIDRIO Financial and serves as its Chairman &amp; Chief Executive Officer. In 2000, he started Focus Star, a seed manager program that identifies and invests with emerging hedge fund managers. In 2008, Mr. Jabban founded Vidrio Financial, a hedge fund research, investment and monitoring organization that provides a comprehensive investment platform to major financial organizations and institutional investors. Earlier in his career, Mr. Jabban worked in Real Estate Development and Investment. He later founded a Management Consulting and Information Systems company. He founded Vidrio Financial in 2011 and is responsible for setting strategic direction and the firm's product development roadmap. In 1994, Mazen founded Focus Investment Group, an alternative investment firm, which incubated the development of the predecessor to the Vidrio Platform. In 1997 he started Focus Europa, one of the oldest European-focused fund-of-hedge-funds and in 2000 he established the Focus Star Fund, a hedge fund seeding program that identified and invested with emerging hedge fund managers. Prior to 1994, Mr. Mazen worked in real estate development and investment and later founded a management consulting and information systems company. He is an Adjunct Professor of Finance at NYU's Stern School of Business lecturing on alternative investments. Mr. Mazen received a B.S. in Engineering from the University of California - Berkeley (1978) and an M.B.A. in Finance from New York University, Stern School of Business (1981).</t>
  </si>
  <si>
    <t>96269-77P</t>
  </si>
  <si>
    <t>Michael Grisham</t>
  </si>
  <si>
    <t>Grisham</t>
  </si>
  <si>
    <t>GPB Scientific</t>
  </si>
  <si>
    <t>+1 (442) 291-2110</t>
  </si>
  <si>
    <t>mike@gpbscientific.com</t>
  </si>
  <si>
    <t>Richmond, VA</t>
  </si>
  <si>
    <t>800 East Leigh Street</t>
  </si>
  <si>
    <t>Suite 51</t>
  </si>
  <si>
    <t>Richmond</t>
  </si>
  <si>
    <t>23219</t>
  </si>
  <si>
    <t>Mr. Michael Grisham is a Co-Founder and serves as Chief Executive Officer &amp; Chairman at GPB Scientific. He is a serial entrepreneurial leader with extensive experience successfully growing high potential bioscience, diagnostic and healthcare companies. Founder and CEO/President of four startups which collectively returned &gt;$300M to investors. Specialties: recruiting and managing high-performance teams, raising capital and commercializing innovative products.</t>
  </si>
  <si>
    <t>41619-25P</t>
  </si>
  <si>
    <t>Michael Rosenbluth Ph.D</t>
  </si>
  <si>
    <t>Rosenbluth</t>
  </si>
  <si>
    <t>Swing Therapeutics</t>
  </si>
  <si>
    <t>mike@swingtherapeutics.com</t>
  </si>
  <si>
    <t>Mr. Michael Rosenbluth is the Founder and serves as Chief Executive Officer at Swing Therapeutics. He serves as Vice President, Strategy and Business Development at Veracyte. Mr. Rosenbluth joined Versant after four years at McKinsey and Company where he was a senior engagement manager focusing on healthcare strategy. He worked closely with leading companies in the medical device, diagnostic, biotechnology, and pharmaceutical industries, advising them on corporate growth, R&amp;D, and commercial strategies. Mr. Rosenbluth also co-led McKinsey's personalized medicine initiative. He earned a Ph.D. in Biomedical Engineering from UC Berkeley and UC San Francisco where he studied leukostasis, a disease of the microvasculature associated with acute leukemia. He received a B.S. and M.S. in Mechanical Engineering from Stanford University where he was also a Mayfield Fellow. He also has a Ph.D. in Biomedical Engineering from University of California, Berkeley.</t>
  </si>
  <si>
    <t>153387-73P</t>
  </si>
  <si>
    <t>Michel Maharbiz Ph.D</t>
  </si>
  <si>
    <t>Maharbiz</t>
  </si>
  <si>
    <t>Michel</t>
  </si>
  <si>
    <t>Co-Founder, Co-Chief Executive Officer &amp; Board Member</t>
  </si>
  <si>
    <t>Dr. Michel Maharbiz is a Co-Founder of Iota Biosciences and also serves as its Co-Chief Executive Officer and Board Member. He also is a Co-Founder of Cortera Neurotechnologies. Michel's research focuses on the miniaturization of technology focused on building synthetic interfaces to cells and organisms. He is a professor of EECS at UC Berkeley. He is known as one of the inventors of "neural dust", an ultrasonic interface for vanishingly small implants in the body. Michel received his B.S. from Cornell University and his Ph.D. from the University of California, Berkeley.</t>
  </si>
  <si>
    <t>88407-10P</t>
  </si>
  <si>
    <t>Mitchell Chun</t>
  </si>
  <si>
    <t>Chun</t>
  </si>
  <si>
    <t>Founder, Chief Executive Officer, President &amp; Board Member</t>
  </si>
  <si>
    <t>BLOK SPORTS</t>
  </si>
  <si>
    <t>mitchell.chun@bloksports.com</t>
  </si>
  <si>
    <t>Manhattan Beach, CA</t>
  </si>
  <si>
    <t>The Strand</t>
  </si>
  <si>
    <t>Manhattan Beach</t>
  </si>
  <si>
    <t>90266</t>
  </si>
  <si>
    <t>Mr. Mitchell Chun is the Founder and Board Member of Blok Sports, where he serves as Chief Executive Officer and President. He serves as Advisor at Next Management Partners. He has over 25 years of leadership experience in the media and technology space, having held a number of senior executive positions at Yahoo!, Fox Interactive Media, and Fox Networks Group, as well as co-founding a number of digital ventures and managing them from ideation, to launch, to successful exits. Most recently, he was Co-founder, COO and CFO of Timeline Labs, a social media data mining company, which sold to SeaChange International, and of 5to1, a premium online advertising platform, which sold to Yahoo! Previously, he spent over a decade at News Corp. where he led strategic and new business development initiatives and M&amp;A across the interactive media group, broadcast, cable and international networks. He holds a B.A. in Quantitative Economics and a minor in Business Administration from the University of California at Berkeley and currently resides in Manhattan Beach.</t>
  </si>
  <si>
    <t>112687-84P</t>
  </si>
  <si>
    <t>Natasia Malaihollo</t>
  </si>
  <si>
    <t>Malaihollo</t>
  </si>
  <si>
    <t>Natasia</t>
  </si>
  <si>
    <t>Wyzerr</t>
  </si>
  <si>
    <t>+1 (859) 380-1153</t>
  </si>
  <si>
    <t>natasia@wyzerr.com</t>
  </si>
  <si>
    <t>Covington, KY</t>
  </si>
  <si>
    <t>1 Innovation Alley</t>
  </si>
  <si>
    <t>Kentucky</t>
  </si>
  <si>
    <t>41011</t>
  </si>
  <si>
    <t>Ms. Natasia Malaihollo is a Co-Founder and serves as Chief Executive Officer &amp; Board Member at Wyzerr. Previously, she co-founded Sooligan and served as its President &amp; Chief Executive Officer at Sooligan.</t>
  </si>
  <si>
    <t>41923-18P</t>
  </si>
  <si>
    <t>Nathan Harding</t>
  </si>
  <si>
    <t>Harding</t>
  </si>
  <si>
    <t>Nathan</t>
  </si>
  <si>
    <t>Foxeye Robotics</t>
  </si>
  <si>
    <t>+1 (415) 533-8062</t>
  </si>
  <si>
    <t>nathan@foxeyerobotics.com</t>
  </si>
  <si>
    <t>2930 Shattuck Avenue</t>
  </si>
  <si>
    <t>Suite 305</t>
  </si>
  <si>
    <t>94705</t>
  </si>
  <si>
    <t>Mr. Nathan Harding is a Co-Founder and serves as Chief Executive Officer and Board Member at Foxeye Robotics. He served as the Board Member at Diabeto. Mr. Harding co-founded and served as the Board Member and Chief Executive Officer at Ekso Bionics. Nathan received his Bachelor's Degree in Mechanical Engineering and Economics from Carnegie Mellon University in Pittsburg and his Master's in Mechanical Engineering from the University of California, Berkeley.</t>
  </si>
  <si>
    <t>48426-58P</t>
  </si>
  <si>
    <t>Nathanael Gray Ph.D</t>
  </si>
  <si>
    <t>Gray</t>
  </si>
  <si>
    <t>Nathanael</t>
  </si>
  <si>
    <t>Soltego</t>
  </si>
  <si>
    <t>+1 (609) 610-2655</t>
  </si>
  <si>
    <t>gray@soltego.com</t>
  </si>
  <si>
    <t>Newton, MA</t>
  </si>
  <si>
    <t>510 Ward Street</t>
  </si>
  <si>
    <t>02459</t>
  </si>
  <si>
    <t>Dr. Nathanael Gray is a Co-Founder of Soltego and also serves as its Board Member. He was also a scientific co-founder and served as the Chairman SAB at Petra Pharma. He is also a Co-Founder of Syros Pharmaceuticals and serves as Scientific Advisory Board Member. He is professor of Biological Chemistry and Molecular Pharmacology at Harvard Medical School and Dana-Farber Cancer Institute. In his research, he uses synthetic chemistry and functional small molecule discovery to modulate biological pathways important in cancer. Dr. Gray's research team has been responsible for the discovery of numerous first-in-class kinase inhibitors that have become widely used biological reagents and have inspired drug discovery programs. Previously, he was director of Biological Chemistry at the Genomics Institute of the Novartis Research Foundation (GNF) where he established a kinase platform and lead the medicinal chemistry efforts to develop clinical candidates, including BAF312, which is undergoing Phase III clinical trials for the treatment of multiple sclerosis. Dr. Gray received his Ph.D. in Organic Chemistry at the University of California at Berkeley with Professor Peter Schultz, where he discovered Purvalanol, one of the first selective inhibitors of cyclin-dependent kinases. His awards include the Damon Runyon Cancer Innovator Award, the American Chemical Society (ACS) award for outstanding research in biological chemistry and the American Association for Cancer Research (AACR) Award for Team Science and for outstanding young investigator.</t>
  </si>
  <si>
    <t>173254-78P</t>
  </si>
  <si>
    <t>Nathaniel Wang Ph.D</t>
  </si>
  <si>
    <t>Nathaniel</t>
  </si>
  <si>
    <t>Co-Founder, Chief Executive Officer &amp; Chief Scientific Officer</t>
  </si>
  <si>
    <t>Replicate Bioscience</t>
  </si>
  <si>
    <t>+1 (619) 786-7702</t>
  </si>
  <si>
    <t>nwang@replicatebioscience.com</t>
  </si>
  <si>
    <t>Dr. Nathaniel Wang is a Co-Founder and serves as Chief Executive Officer and Chief Scientific Officer at Replicate Bioscience. He also serves as Head of Research and Development for RNA Medicines at Synthetic Genomics. He has over 15 years of leadership experience in immunology and drug development. He is a pioneer in the area of synthetic, self-replicating RNA technologies and their delivery, including the development of the SynRGY technology platform. He is also a recognized expert in the fields of immuno-oncology and infectious disease. Prior to Replicate Bioscience, Dr. Wang was head of the RNA Medicines business unit at Synthetic Genomics, where he developed a self-replicating RNA platform asset. This asset and business unit was sold to a Top 5 human health pharmaceutical company in 2019. There, he setup a drug discovery and CMC framework and led teams developing compounds in multiple therapeutic spaces using the acquired technologies. Dr. Wang has played critical roles in both biotech and pharma settings on cross functional teams involving R&amp;D, clinical, business, commercial, legal, and regulatory with strategic oversight of preclinical and clinical assets through commercialization. Dr. Wang is an inventor on multiple patents for applications of synthetic biology and use of novel technologies for vaccines and therapeutics. He received a Ph.D. in Immunology from The Scripps Research Institute. Prior to this, he earned a B.A. in Molecular Immunology from University of California, at Berkeley.</t>
  </si>
  <si>
    <t>115220-62P</t>
  </si>
  <si>
    <t>Naushad Huda JD</t>
  </si>
  <si>
    <t>Huda</t>
  </si>
  <si>
    <t>Naushad</t>
  </si>
  <si>
    <t>Xtopoly</t>
  </si>
  <si>
    <t>+1 (949) 281-7201</t>
  </si>
  <si>
    <t>naushad@ilikethisgrape.com</t>
  </si>
  <si>
    <t>Irvine, CA</t>
  </si>
  <si>
    <t>1621 Alton Parkway</t>
  </si>
  <si>
    <t>Irvine</t>
  </si>
  <si>
    <t>92606</t>
  </si>
  <si>
    <t>Mr. Naushad Huda is a Co-Founder of I Like This Grape and also serves as Chief Creative Officer. He is also the Chief Executive Officer at XTOPOLY.</t>
  </si>
  <si>
    <t>69219-91P</t>
  </si>
  <si>
    <t>Norman Smith</t>
  </si>
  <si>
    <t>Norman</t>
  </si>
  <si>
    <t>Cube @Midtown</t>
  </si>
  <si>
    <t>+1 (775) 622-9900 x108</t>
  </si>
  <si>
    <t>Reno, NV</t>
  </si>
  <si>
    <t>800 Haskell Street</t>
  </si>
  <si>
    <t>Reno</t>
  </si>
  <si>
    <t>89509</t>
  </si>
  <si>
    <t>+1 (775) 622-9916</t>
  </si>
  <si>
    <t>Mr. Norman Smith serves as Managing Director at Cube @Midtown. Mr. Norman Smith is the Founder and serves as Chief Executive Officer and Board Member at VizKinect. He has 30 years executive management experience specializing in startups and cutting edge innovations in retail, technology, manufacturing, and international business development. He founded 9 successful startups and raised over $250 million in startup funding taking their annual revenue from startup to over $100 million. His ability to assist young startups comes from his personal experience that includes: building world class management delivering world class services and products. He took a failing U.S. manufacturing firm from $1/2 million in sales to $120 million while winning state awards for handling of hazardous materials and waste water treatment. He started and managed international joint ventures in Hong Kong, Thailand and China, with an average annual growth of 1500%. He took manufacturing technology services and consumer product retailing from 43 locations to 216 locations with no change in cash flow tripled revenues and increased profits by 11%. He is nationally recognized for innovative programs and job growth while serving on the board of the Contra Costa Software Business Incubator Board, as a University Regent for several Non Profit(s), and as a board member for Regional governance and Private industry.</t>
  </si>
  <si>
    <t>90568-09P</t>
  </si>
  <si>
    <t>Pamela Grossman Ph.D</t>
  </si>
  <si>
    <t>Grossman</t>
  </si>
  <si>
    <t>Pamela</t>
  </si>
  <si>
    <t>Chairwoman of the Board of Directors</t>
  </si>
  <si>
    <t>The Spencer Foundation</t>
  </si>
  <si>
    <t>+1 (312) 337-7000</t>
  </si>
  <si>
    <t>625 North Michigan Avenue</t>
  </si>
  <si>
    <t>Suite 1600</t>
  </si>
  <si>
    <t>60611</t>
  </si>
  <si>
    <t>+1 (312) 337-0282</t>
  </si>
  <si>
    <t>Ms. Pamela Grossman serves as Chairwoman of the Board of Directors at The Spencer Foundation. She also serves as Faculty Director and Founding Director at Center to Support Excellence in Teachin. She is also the Founder of the company. Professor Grossman's research interests include teacher education and certification; English education, literacy, and literature; and professional development. While at CSET, her research focused on classroom practice in middle-school English and Language Arts, pathways into teaching, and teacher-preparation programs for teachers, clergy, and clinical psychologists. Professor Grossman now serves as Dean of the University of Pennsylvania's Graduate School of Education. Professor Grossman received a BA in English from Yale University, an MA in Instructional Research and Curriculum Design from the University of California at Berkeley, and both an EdS in Evaluation and a Ph.D. in Curriculum and Teacher Education from Stanford University.</t>
  </si>
  <si>
    <t>37281-07P</t>
  </si>
  <si>
    <t>Patrick Garrehy</t>
  </si>
  <si>
    <t>Garrehy</t>
  </si>
  <si>
    <t>Patrick</t>
  </si>
  <si>
    <t>Rootstock Software</t>
  </si>
  <si>
    <t>+1 (925) 380-6292</t>
  </si>
  <si>
    <t>pgarrehy@rootstock.com</t>
  </si>
  <si>
    <t>San Ramon, CA</t>
  </si>
  <si>
    <t>5000 Executive Parkway</t>
  </si>
  <si>
    <t>San Ramon</t>
  </si>
  <si>
    <t>94583</t>
  </si>
  <si>
    <t>+1 (888) 255-0493</t>
  </si>
  <si>
    <t>Mr. Patrick Garrehy is a Co-Founder of Rootstock Software and serves as its Chief Executive Officer, President and Board Member. He has an extensive background as a software architect and engineer. With over 30 years of management, sales and technical experience, he brings a unique blend of analytical focus and business savvy to the table. As Chief Executive Officer, he has applied his extensive background to the development of Rootstock's nimble and powerful cloud based (SaaS) solution. In addition, he sets the company's strategic direction and provides overall leadership for the entire management team. He has developed and maintains close relationships with strategic partners Salesforce.com and Financialforce. He is also the founder and former Chief Executive Officer of Relevant Business Systems, a client-server ERP software provider with an exclusive focus on discrete manufacturing companies. Relevant, which was sold in 2006, remains the most profitable division of the acquirer to date. The software is currently utilized in a number of business operations, including major divisions of Lockheed and Solectron with sales of over one billion dollars. As a University of California at Berkeley graduate, he holds a BS degree in business and mathematics as well as a MBA in finance from the University of Southern California.</t>
  </si>
  <si>
    <t>64342-27P</t>
  </si>
  <si>
    <t>Peter Wong JD</t>
  </si>
  <si>
    <t>Wong</t>
  </si>
  <si>
    <t>TruTag Technologies</t>
  </si>
  <si>
    <t>+1 (808) 878-8247</t>
  </si>
  <si>
    <t>pwong@trutags.com</t>
  </si>
  <si>
    <t>Kapolei, HI</t>
  </si>
  <si>
    <t>2045 Lauwiliwili Street</t>
  </si>
  <si>
    <t>Unit 301</t>
  </si>
  <si>
    <t>Kapolei</t>
  </si>
  <si>
    <t>Hawaii</t>
  </si>
  <si>
    <t>96707</t>
  </si>
  <si>
    <t>+1 (808) 380-2223</t>
  </si>
  <si>
    <t>Mr. Peter Wong is a Co-Founder and serves as Chief Operating Officer at TruTag Technologies. Prior to co-founding TruTag Technologies, he served as Senior Vice President and General Counsel for educational technology developer LeapFrog Enterprises, Inc., where he helped the company prepare for and complete its successful initial public offering (2002 IPO of the Year - $135 million), expand internationally, and complete many significant IP transactions. Prior to that, he was Associate General Counsel and Vice President of Corporate Development at Quokka Sports, Inc., a digital media company, joining prior to its IPO and handling multiple acquisitions and financings. He was previously a business attorney at the Cooley LLP and Howard, Rice (now Arnold &amp; Porter LLP) law firms in San Francisco, where he focused on corporate transactions such as VC financings, M&amp;A, and public offerings. He earned his undergraduate degree from the University of California, Berkeley and his J.D. from the University of California, Hastings College of Law.</t>
  </si>
  <si>
    <t>95714-02P</t>
  </si>
  <si>
    <t>Peter Yorke</t>
  </si>
  <si>
    <t>Yorke</t>
  </si>
  <si>
    <t>EndoVention</t>
  </si>
  <si>
    <t>pyorke@endovention.com</t>
  </si>
  <si>
    <t>2201 Pacific Avenue</t>
  </si>
  <si>
    <t>Suite 706</t>
  </si>
  <si>
    <t>94115</t>
  </si>
  <si>
    <t>Mr. Peter Yorke is a Co-Founder and serves as the Chief Executive Officer and Chairman at EndoVention. He is a Co-Founder and serves as Chief Executive Officer and Chairman at Voyo. Mr. Yorke brings over 20 years of experience in the medical device industry to EndoVention. Trained as a molecular biologist and originally working at Genentech, he then entered the world of medical venture capital, first at Montgomery in San Francisco, and then as Chief Investment Officer at Art Pappas and Associates. He has been involved in several start-ups, including Sherpa Interventional Systems (sold to Stryker Instruments), and Voyomotive, for which he currently serves as CEO. He hold patents in both the medical device and automotive arena. He obtained his BA from UC Berkeley and his MBA from Anderson School at UCLA.</t>
  </si>
  <si>
    <t>114300-55P</t>
  </si>
  <si>
    <t>Pierre Beaurang Ph.D</t>
  </si>
  <si>
    <t>Beaurang</t>
  </si>
  <si>
    <t>Pierre</t>
  </si>
  <si>
    <t>Nurix</t>
  </si>
  <si>
    <t>+1 (415) 660-5320</t>
  </si>
  <si>
    <t>pbeaurang@nurix-inc.com</t>
  </si>
  <si>
    <t>+1 (415) 525-4200</t>
  </si>
  <si>
    <t>Dr. Pierre Beaurang is a Co-Founder of DeCART Therapeutics. He serves as Chief Business Officer at Nurix. Prior to joining Nurix, Dr. Beaurang was part of the founding team of Five Prime Therapeutics where she contributed to the conceptualization, creation and implementation of the company plan. Dr. Beaurang held roles of increasing responsibility and negotiated a number of major collaborations with global pharmaceutical firms, including with GlaxoSmithKline, UCB and Bristol Myers Squibb, helping secure an aggregate $270 million in near term revenues and more than $2.4 billion in potential milestone payments. He holds a Ph.D. in molecular and cell biology from the University of California, Berkeley and conducted postdoctoral research at the University of California, San Francisco. He holds a B.A. and a M.A. in biology and biotechnology, respectively, from Boston University.</t>
  </si>
  <si>
    <t>175079-53P</t>
  </si>
  <si>
    <t>Prateek Saxena</t>
  </si>
  <si>
    <t>Saxena</t>
  </si>
  <si>
    <t>Prateek</t>
  </si>
  <si>
    <t>Anquan</t>
  </si>
  <si>
    <t>prateek@anquancapital.com</t>
  </si>
  <si>
    <t>2 Science Park Drive</t>
  </si>
  <si>
    <t>The Bridge at Ascent</t>
  </si>
  <si>
    <t>118222</t>
  </si>
  <si>
    <t>Dr. Prateek Saxena is a Co-Founder of Anquan. He is a Co-Founder and serves as Board Member at Zilliqa. He is a research professor in computer science at National University of Singapore, and has a PhD in Computer Science from UC Berkeley. He works on blockchains and computer security. His research has influenced the design of browser platforms, web standards and app stores widely used today. He has received several premier awards such as the Top 10 Innovators under 35 (MIT TR35 Asia) in 2017.</t>
  </si>
  <si>
    <t>42786-64P</t>
  </si>
  <si>
    <t>Prayag Narula</t>
  </si>
  <si>
    <t>Narula</t>
  </si>
  <si>
    <t>Prayag</t>
  </si>
  <si>
    <t>Co-Founder, President &amp; Chairman</t>
  </si>
  <si>
    <t>LeadGenius</t>
  </si>
  <si>
    <t>+1 (650) 290-4733</t>
  </si>
  <si>
    <t>prayag@leadgenius.com</t>
  </si>
  <si>
    <t>2054 University Avenue</t>
  </si>
  <si>
    <t>Mr. Prayag Narula is a Co-Founder and serves as President and Chairman at LeadGenius. He serves as venture partner at Pioneer Fund (San Francisco). He is an author of several book chapters and papers on Human-Computer Interaction, Computer Networks and Network Security. He holds a BS in Computer Science.</t>
  </si>
  <si>
    <t>143666-02P</t>
  </si>
  <si>
    <t>Prescott Nasser</t>
  </si>
  <si>
    <t>Nasser</t>
  </si>
  <si>
    <t>Prescott</t>
  </si>
  <si>
    <t>280 CapMarkets</t>
  </si>
  <si>
    <t>+1 (415) 710-2015</t>
  </si>
  <si>
    <t>pnasser@280cap.com</t>
  </si>
  <si>
    <t>Suite 3800</t>
  </si>
  <si>
    <t>Mr. Prescott Nasser serves as Co-Founder &amp; Chief Technology Officer at SourceScrub.Mr. Prescott Nasser serves as Co-Founder &amp; Chief Technology Officer at 280 CapMarkets. He has over 15 years of technology experience, building financial services software and teams. He is a VP at the Apache Software Foundation. Mr. Nasser was previously VP of Engineering at Vouch Financial and Director of Engineering at Prosper Marketplace. Prescott graduated from University of California, Berkeley with a degree in Cognitive Science and an emphasis on artificial intelligence. In addition, he studied Graduate Economics at Stanford University.</t>
  </si>
  <si>
    <t>93695-14P</t>
  </si>
  <si>
    <t>Rajeev Behera</t>
  </si>
  <si>
    <t>Behera</t>
  </si>
  <si>
    <t>Co-Founder &amp; Chairman of the Board</t>
  </si>
  <si>
    <t>Reflektive</t>
  </si>
  <si>
    <t>rbehera@reflektive.com</t>
  </si>
  <si>
    <t>123 Townsend Street</t>
  </si>
  <si>
    <t>Mr. Rajeev Behera is a Co-Founder and serves as Chairman of the Board at Reflektive. Mr. Rajeev Behera served as the Chief Executive Officer at Reflektive. Previously, he served as a Director, Mobile Product at Disney Interactive.</t>
  </si>
  <si>
    <t>106790-41P</t>
  </si>
  <si>
    <t>Randolph Cheung</t>
  </si>
  <si>
    <t>Cheung</t>
  </si>
  <si>
    <t>Randolph</t>
  </si>
  <si>
    <t>CipherHealth</t>
  </si>
  <si>
    <t>+1 (203) 668-9039</t>
  </si>
  <si>
    <t>rcheung@cipherhealth.com</t>
  </si>
  <si>
    <t>One Penn Plaza</t>
  </si>
  <si>
    <t>Suite 3101</t>
  </si>
  <si>
    <t>10119</t>
  </si>
  <si>
    <t>Mr. Randy Cheung is a Co-Founder of CipherHealth and serves as its Chief Executive Officer. He also serves as a Board Member at Twiage. After working in health care and experiencing firsthand a fundamental gap that was holding the industry back from moving toward more patient-centric care: communication. Also seeing a need for caregivers to embrace technology the way their patients had, he developed the idea for an SaaS communication platform that connected the two communities at critical points along the care continuum and thus, CipherHealth was formed. Prior to founding CipherHealth, Randy managed business development for MDLand International, a CCHIT accredited electronic medical record (EMR) company located in New York City. Prior experience also includes consulting for Empath Consulting and sales management at Abbott Laboratories.</t>
  </si>
  <si>
    <t>207549-10P</t>
  </si>
  <si>
    <t>Ravi Jotwani</t>
  </si>
  <si>
    <t>Jotwani</t>
  </si>
  <si>
    <t>Ravi</t>
  </si>
  <si>
    <t>Bids</t>
  </si>
  <si>
    <t>+1 (925) 336-6778</t>
  </si>
  <si>
    <t>ravi@bidsevents.com</t>
  </si>
  <si>
    <t>2150 Shattuck Avenue</t>
  </si>
  <si>
    <t>Mr. Ravi Jotwani is a Co-Founder of Bids. He is a Co-Founder of Pronounced Kyle. He holds a degree in Computer Science from University of California, Berkeley.</t>
  </si>
  <si>
    <t>60498-55P</t>
  </si>
  <si>
    <t>Reid Rubsamen MD</t>
  </si>
  <si>
    <t>Rubsamen</t>
  </si>
  <si>
    <t>Reid</t>
  </si>
  <si>
    <t>Founder, Board Member, Chief Medical Officer &amp; Chief Executive Officer</t>
  </si>
  <si>
    <t>Flow Pharma</t>
  </si>
  <si>
    <t>+1 (925) 708-8000</t>
  </si>
  <si>
    <t>rrubsamen@flowpharma.com</t>
  </si>
  <si>
    <t>3451 Vincent Road</t>
  </si>
  <si>
    <t>+1 (925) 933-4414</t>
  </si>
  <si>
    <t>Dr. Reid Rubsamen is the Founder and serves Board Member, Chief Medical Officer and Chief Executive Officer at Flow Pharma. He is a Board Certified anesthesiologist having received his medical training at Pacific Medical Center, San Francisco and Massachusetts General Hospital where in 1989 he served as Chief Resident in Anesthesia and where he is currently a Consultant in the Department of Anesthesia, Critical Care and Pain Medicine. He was also a postdoctoral fellow in the Computer Science department at the Massachusetts Institute of Technology for two years, leaving in 1990 to found Aradigm Corporation. He left Aradigm in 2000 to found Flow Pharma. He is a named inventor of more than 65 issued U.S. patents. Dr. Rubsamen holds an A.B. in Biochemistry and Computer Science from the University of California, Berkeley, and an M.S. in Computer Science and an M.D. from Stanford University.</t>
  </si>
  <si>
    <t>35707-69P</t>
  </si>
  <si>
    <t>Reinaldo Normand</t>
  </si>
  <si>
    <t>Normand</t>
  </si>
  <si>
    <t>Reinaldo</t>
  </si>
  <si>
    <t>InnovaLab</t>
  </si>
  <si>
    <t>rn@innovalab.us</t>
  </si>
  <si>
    <t>388 Market Street</t>
  </si>
  <si>
    <t>Mr. Reinaldo Normand is a Co-Founder and serves as Chief Executive Officer at InnovaLab. He has also served as an Investment Partner at GameFounders. Mr. Normand is a Co-Founder and Chief Executive Officer of 2Mundos. He is responsible for worldwide special projects at Zeebo and founded the company. Based in Shanghai, Mr. Normand is driving the company's strategic plan for China and is working with content providers across Asia. Before founding Zeebo, he served at Tectoy Mobile, the mobile gaming division of Tectoy S.A. of Brazil. Previously, he was Country Manager for the Electronic Gaming Show (EGS), where he organized the largest electronic gaming fair in Brazil. He was founder of Outer Space Media.</t>
  </si>
  <si>
    <t>38918-26P</t>
  </si>
  <si>
    <t>Rex Ishibashi</t>
  </si>
  <si>
    <t>Ishibashi</t>
  </si>
  <si>
    <t>Rex</t>
  </si>
  <si>
    <t>Callaway Digital Arts</t>
  </si>
  <si>
    <t>+1 (415) 699-0163</t>
  </si>
  <si>
    <t>rex@originatorkids.com</t>
  </si>
  <si>
    <t>Mr. Rex Ishibashi serves as Chief Executive Officer at Callaway Digital Arts. He is a Co-Founder and serves as the Chief Executive Officer &amp; a Board Member at Originator. His entrepreneurial career reflects his passion for entertainment, education, and technology. He has previously held key roles at Callaway Digital Arts, Electronic Arts, and Wired, and has advised a number of ventures including Elevation Partners, SecondLife, Chowhound/CBS Interactive, Blurb, and MOG/Beats.</t>
  </si>
  <si>
    <t>45281-71P</t>
  </si>
  <si>
    <t>Richard Andersen</t>
  </si>
  <si>
    <t>Andersen</t>
  </si>
  <si>
    <t>Richard</t>
  </si>
  <si>
    <t>ShareVault</t>
  </si>
  <si>
    <t>+1 (800) 380-7652</t>
  </si>
  <si>
    <t>richard@sharevault.com</t>
  </si>
  <si>
    <t>Los Gatos, CA</t>
  </si>
  <si>
    <t>16795 Lark Avenue</t>
  </si>
  <si>
    <t>Los Gatos</t>
  </si>
  <si>
    <t>95032</t>
  </si>
  <si>
    <t>Mr. Richard Andersen is a Co-Founder and Board Member of ShareVault, where he serves as Chief Executive Officer. He is a Board Member of Wildlink. He is an experienced Silicon Valley software entrepreneur who has spent the past 20 years bringing innovative business software, ecommerce, and financial services solutions to market. His areas of expertise include product management, sales and marketing, business development, team building, global expansion, information technology, and operational efficiency. He began his career at Apple where he developed a lifelong passion for innovation excellence. Early recognition for ìintrapraneurshipî at Apple encouraged him to pursue technology management roles at companies including Portfolio Software, Ernst and Young Consulting (clients included Netscape, Novellus, Nextel and Infoseek), MarketFirst Software, and eBay. He founded and leads ShareVault where an energized team of professionals are steadfastly blending elements from the enterprise collaboration, productivity, and security spaces into an entirely new enterprise platform for connecting and sharing. He has earned a BA from Whitworth University and an MBA from the University of California, Berkeley.</t>
  </si>
  <si>
    <t>83803-33P</t>
  </si>
  <si>
    <t>Rick Citron JD</t>
  </si>
  <si>
    <t>Citron</t>
  </si>
  <si>
    <t>Rick</t>
  </si>
  <si>
    <t>Rain (marketing application)</t>
  </si>
  <si>
    <t>+1 (407) 792-9966</t>
  </si>
  <si>
    <t>rick@rainlocal.com</t>
  </si>
  <si>
    <t>10866 Wilshire Boulevard</t>
  </si>
  <si>
    <t>Suite 970</t>
  </si>
  <si>
    <t>90024</t>
  </si>
  <si>
    <t>Mr. Rick Citron is a Co-Founder and serves as Chairman at Rain.</t>
  </si>
  <si>
    <t>111593-80P</t>
  </si>
  <si>
    <t>Robbie Bhathal</t>
  </si>
  <si>
    <t>Bhathal</t>
  </si>
  <si>
    <t>Robbie</t>
  </si>
  <si>
    <t>Brightflow AI</t>
  </si>
  <si>
    <t>+1 (415) 625-3485</t>
  </si>
  <si>
    <t>rbhathal@brightflow.ai</t>
  </si>
  <si>
    <t>Mr. Robbie Bhathal is a Co-Founder and serves as Chief Executive Officer at Brightflow AI. He is a Co-Founder of Suiteness and serves as its Chief Executive Officer and Board Member. He has background in venture finance, online innovation, scaling start up enterprises, and over a decade of management experience. He's also held positions at Capital One Innovation Labs, Pubmatic, Lakewood Capital and Indian Creek Capital.</t>
  </si>
  <si>
    <t>58144-78P</t>
  </si>
  <si>
    <t>Robert Benson Ph.D</t>
  </si>
  <si>
    <t>Benson</t>
  </si>
  <si>
    <t>Co-Founder &amp; Managing Principal</t>
  </si>
  <si>
    <t>Spinnaker</t>
  </si>
  <si>
    <t>+1 (877) 466-0745</t>
  </si>
  <si>
    <t>rbenson@spinnakermgmt.com</t>
  </si>
  <si>
    <t>1001 South Dairy Ashford Road</t>
  </si>
  <si>
    <t>77077</t>
  </si>
  <si>
    <t>Mr. Robert Benson is a Co-Founder of Spinnaker and serves as its Managing Principal. For over 18 years, he has worked with clients on Supply Chain Management challenges in the Semiconductor and High-tech industries. As the Managing Principal for Spinnaker's Supply Chain practice areas, he guides the strategic direction for the company's Supply Chain Consulting, JDA and SAP Practices and Value-Added Warehousing &amp; Distribution offerings. His recent client work focuses on combining the Sales and Operations Planning (S&amp;OP) process with APS tools to further enhance the ability to predict and manage complex, global supply chains. Beginning his career at UC Berkeley, he worked with a team of researchers and consultants that developed some of the earliest optimization-based planning solutions for the semiconductor industry. Key elements of these solutions are still found in supply chain planning applications from leading companies in the commercial marketplace. As commercial software for supply chain planning developed to become the Advanced Planning Systems (APS) market, he helped clients use these applications more effectively through improved process design and measurement. He holds a Ph.D. and M.S. in Industrial Engineering and Operations Research from the University of California at Berkeley. He also received his B.S. in Operations Research from Cornell University. He is a recipient of the Franz Edelman Award for Management Science Achievement for his work on optimization-based planning systems with the team from UC Berkeley.</t>
  </si>
  <si>
    <t>161098-30P</t>
  </si>
  <si>
    <t>Robert Petrie III</t>
  </si>
  <si>
    <t>Petrie</t>
  </si>
  <si>
    <t>Origami Risk</t>
  </si>
  <si>
    <t>+1 (312) 546-6515</t>
  </si>
  <si>
    <t>rpetrie@origamirisk.com</t>
  </si>
  <si>
    <t>222 North LaSalle Street</t>
  </si>
  <si>
    <t>Suite 2100</t>
  </si>
  <si>
    <t>60601</t>
  </si>
  <si>
    <t>Mr. Robert Petrie is a Co-Founder and serves as Chief Executive Officer at Origami Risk. Mr. Petrie is recognized as an innovative and dynamic leader in risk management technology and operations. He is frequently quoted in trade magazines, has been profiled in industry publications, and speaks often at national and local conferences and meetings. Bob co-founded Origami Risk in 2009, and the company has quickly become a leader in the RMIS Industry. Under Bob's leadership, Origami Risk has formed partnerships with leading brokers and risk consultants to provide advanced technology and improved service to their clients, including risk managers, financial officers of mid-sized companies, insurance companies, brokers, and third party administrators. Origami Risk is an independent company; owned entirely by its management. Our sole focus is to help our clients improve efficiency across the policy lifecycle and provide advanced analytics to measure, manage and mitigate the total cost of risk. Bob is an experienced senior executive with a long history of founding successful technology businesses. Previously, Bob was the Head of Global Operations and Client Technology for Marsh with more than 3,000 employees in 11 countries. As the executive in charge of improving operational efficiency and client satisfaction, Bob helped design and implement a new business model for Marsh. Bob also founded and was the long-time CEO of CS STARS (now Marsh ClearSight), a Marsh risk technology subsidiary. Under Bob's leadership, Bob grew STARS to be the largest RMIS company in the world, as reported by Business Insurance Magazine. While working at Marsh, Bob also formed and led other high-growth technology businesses including Whereiwork.com, BenefitSmart.com, and STARS Audit. He also serves as Board Member at CINC Systems.</t>
  </si>
  <si>
    <t>208668-79P</t>
  </si>
  <si>
    <t>Ron Laurie JD</t>
  </si>
  <si>
    <t>Co-Founder &amp; President</t>
  </si>
  <si>
    <t>SynPat</t>
  </si>
  <si>
    <t>+1 (415) 805-8818</t>
  </si>
  <si>
    <t>rlaurie@synpat.com</t>
  </si>
  <si>
    <t>One Market Street</t>
  </si>
  <si>
    <t>Spear Tower, 36th Floor</t>
  </si>
  <si>
    <t>+1 (415) 805-8819</t>
  </si>
  <si>
    <t>Mr. Ron Laurie is a Co-Founder and serves as President at SynPat. He also serves as Executive Chairman, CIPO at InventionShare and WiLAN. He has worked in Silicon Valley since before it had that name, initially as a software and systems engineer, and later as an intellectual property lawyer and patent strategist. In 2004, he co-founded the first IP investment bank, Inflexion Point Strategy, LLC, which provides patent brokerage and IP-driven M&amp;A advisory services to technology companies and institutional investors around the world. He is a founding partner of Percipience, LLC, a board-level advisory firm specializing in IP management and competitive intelligence, focused innovation, and patent valuation. Ron is on the advisory boards of the Certified Patent Valuation Analyst (CPVA) accreditation program and IP Management and Valuation magazine. He is a registered patent attorney.</t>
  </si>
  <si>
    <t>39510-19P</t>
  </si>
  <si>
    <t>Ronald Fortune Ph.D</t>
  </si>
  <si>
    <t>Fortune</t>
  </si>
  <si>
    <t>Education.com</t>
  </si>
  <si>
    <t>rfortune@education.com</t>
  </si>
  <si>
    <t>401 East 3rd Avenue</t>
  </si>
  <si>
    <t>Unit 101</t>
  </si>
  <si>
    <t>Dr. Ronald Fortune is a Co-Founder and serves as Board Member at Education.com. He was the founder and Chief Executive Officer of Edumetrics Learning. He also served for 10 years as CEO of Computer Curriculum Corporation (CCC). He has served as a member of California's Information Technology Council, as Vice President of the Board of Directors for the Software and Information Industry Association (formerly Software Publishers Association), and as President of the CEO Forum, a Washington, D.C,-based organization advocating the use of technology in schools. He has also served on the National Board for the Improvement of Postsecondary Education and on the Board of Directors for Edison Schools.</t>
  </si>
  <si>
    <t>74921-59P</t>
  </si>
  <si>
    <t>Rong Fan Ph.D</t>
  </si>
  <si>
    <t>Fan</t>
  </si>
  <si>
    <t>Rong</t>
  </si>
  <si>
    <t>Co- Founder, Board Member &amp; Chairman of Scientific Advisory Board</t>
  </si>
  <si>
    <t>IsoPlexis</t>
  </si>
  <si>
    <t>+1 (475) 221-8402</t>
  </si>
  <si>
    <t>rong@isoplexis.com</t>
  </si>
  <si>
    <t>Branford, CT</t>
  </si>
  <si>
    <t>35 NorthEast Industrial Road</t>
  </si>
  <si>
    <t>Suite 103</t>
  </si>
  <si>
    <t>Branford</t>
  </si>
  <si>
    <t>Connecticut</t>
  </si>
  <si>
    <t>06405</t>
  </si>
  <si>
    <t>Dr. Rong Fan is a Co- Founder and also serves as the Board Member &amp; Chairman of Scientific Advisory Board at IsoPlexis. Dr. Rong Fan is a Co-Founder at Singleron Biotechnology. He is an Associate Professor of Biomedical Engineering at Yale and a co-founder of IsoPlexis. He is the recipient of numerous awards including the Howard Temin Pathway to Independence award from NCI and the Packard Fellowship for Science and Engineering, He received a Ph.D. in Chemistry from the University of California at Berkeley and later worked in Professor James Heath's group at Caltech. His recent work is centered on the development of single-cell omics technologies to analyze deep functional cellular heterogeneity in human cancers and the immune system.</t>
  </si>
  <si>
    <t>110403-10P</t>
  </si>
  <si>
    <t>Ross McConnell</t>
  </si>
  <si>
    <t>McConnell</t>
  </si>
  <si>
    <t>Ross</t>
  </si>
  <si>
    <t>Co-Founder &amp; Director</t>
  </si>
  <si>
    <t>Triplejump Group Holdings</t>
  </si>
  <si>
    <t>+64 (0)9 915 6344</t>
  </si>
  <si>
    <t>ross.mcconnel@blinderhq.com</t>
  </si>
  <si>
    <t>Auckland, New Zealand</t>
  </si>
  <si>
    <t>1 Airborne Road</t>
  </si>
  <si>
    <t>Albany</t>
  </si>
  <si>
    <t>Auckland</t>
  </si>
  <si>
    <t>0745</t>
  </si>
  <si>
    <t>Mr. Ross McConnell is a Co-Founder of Triplejump Group Holdings and also serves as its Director. He is also a Co-Founder and serves as Chief Executive Officer and Board Member at Blinder.</t>
  </si>
  <si>
    <t>129892-15P</t>
  </si>
  <si>
    <t>Ruben Kalra MD</t>
  </si>
  <si>
    <t>Kalra</t>
  </si>
  <si>
    <t>Ruben</t>
  </si>
  <si>
    <t>Co-Founder, Chief Medical Officer &amp; Chairman</t>
  </si>
  <si>
    <t>WellBrain</t>
  </si>
  <si>
    <t>+1 (925) 322-1485</t>
  </si>
  <si>
    <t>ruben@wellbrain.io</t>
  </si>
  <si>
    <t>2250 Morello Avenue</t>
  </si>
  <si>
    <t>Dr. Ruben Kalra is a Co-Founder and serves as Chief Medical Officer and Chairman at WellBrain.</t>
  </si>
  <si>
    <t>207020-71P</t>
  </si>
  <si>
    <t>Russell Geyser</t>
  </si>
  <si>
    <t>Geyser</t>
  </si>
  <si>
    <t>Russell</t>
  </si>
  <si>
    <t>Co-Founder and Partner</t>
  </si>
  <si>
    <t>Rainmaker Films</t>
  </si>
  <si>
    <t>russell@rainmakerfilms.com</t>
  </si>
  <si>
    <t>375 Greenwich Street</t>
  </si>
  <si>
    <t>Mr. Russell Geyser is a Co-Founder and serves as Partner at Rainmaker Films. He is the Founder and serves as Managing Member at Geyser Holdings. He is a leading financier of real estate and other investments over the past 25 years. He is co-investor and producer with Clayton Pecorin on the upcoming feature films LOST IN THE SUN, STEALING CARS and URGE. Early on with the JH Snyder Company in Los Angeles, he began in the management of Museum Square, the one million square foot development of Wilshire Courtyard, and the financing and purchase of the iconic Marina City Club. Thereafter, he formed his several joint ventures with Excel Realty Trust and developed over 20 shopping centers across the United States. In 1999, he teamed with Excel to form Millennia Car Wash and as CEO purchased 70 car washes across the country and took it public as MACE Car Washes. Thereafter, he formed Gibraltar Holdings and Geyser Holdings to take advantage of the Tenant-In-Common syndication boom in the United States. He ultimately syndicated more than $400 million in commercial real estate between 2004 and 2007 and retains interest and management of some $200 million in current real estate holdings.</t>
  </si>
  <si>
    <t>135074-62P</t>
  </si>
  <si>
    <t>Sabrina Atienza</t>
  </si>
  <si>
    <t>Atienza</t>
  </si>
  <si>
    <t>Sabrina</t>
  </si>
  <si>
    <t>Qlockwise</t>
  </si>
  <si>
    <t>sabrina@qurious.io</t>
  </si>
  <si>
    <t>Ms. Sabrina Atienza is the Founder of Qlockwise where she serves as Chief Executive Officer. Ms. Atienza also co-founded and served as Chief Executive Officer at Valued. She earned her BA (Bachelor of Arts) in Computer Science and Physics from University of California, Berkeley.</t>
  </si>
  <si>
    <t>43605-46P</t>
  </si>
  <si>
    <t>Samuel Madden Ph.D</t>
  </si>
  <si>
    <t>Madden</t>
  </si>
  <si>
    <t>Samuel</t>
  </si>
  <si>
    <t>Co-Founder &amp; Chief Scientist</t>
  </si>
  <si>
    <t>sam@cmtelematics.com</t>
  </si>
  <si>
    <t>Mr. Samuel Madden is the Co-Founder of Cambridge Mobile Telematics and also serves as its Chief Scientist. In addition to co-leading the CarTel project with Hari Balakrishnan. Dr. Madden is an associate professor of electrical engineering and computer science in MIT's Computer Science and Artificial Intelligence Laboratory and the Director of BigData@CSAIL, an industry-university collaboration to explore issues related to managing data that is too big, too fast, or too hard for existing data processing systems to handle. He is known for contributions to the field of database systems, including widely cited papers on topics related to managing sensor data, column-oriented databases and databases-as-a-service and was a co-founder of Vertica (acquired by HP). He was a Board Observer and Advisor at Tesora. He received his Ph.D. from the University of California at Berkeley in 2003 where he worked on the TinyDB system for data collection from sensor networks. He serves as an Advisor at hack/reduce.</t>
  </si>
  <si>
    <t>70098-76P</t>
  </si>
  <si>
    <t>Samuel Pullman</t>
  </si>
  <si>
    <t>Pullman</t>
  </si>
  <si>
    <t>Co-Founder and Chief Technology Officer</t>
  </si>
  <si>
    <t>Podo</t>
  </si>
  <si>
    <t>spullman@podolabs.com</t>
  </si>
  <si>
    <t>582 Market Street</t>
  </si>
  <si>
    <t>Mr. Samuel Pullman is a Co-Founder and serves as Chief Technology Officer at Podo. He is also a Co-Founder and serves as Chief Technology Officer at Pledgecamp. He was Web Developer at Lawrence Berkeley National Laboratory.</t>
  </si>
  <si>
    <t>41101-66P</t>
  </si>
  <si>
    <t>Samuel Skinner</t>
  </si>
  <si>
    <t>Skinner</t>
  </si>
  <si>
    <t>Co-Founder &amp; Board Advisor</t>
  </si>
  <si>
    <t>All of Us Financial</t>
  </si>
  <si>
    <t>+1 (415) 683-3199</t>
  </si>
  <si>
    <t>sam.skinner@allofusfinancial.com</t>
  </si>
  <si>
    <t>Ross, CA</t>
  </si>
  <si>
    <t>32 Ross Common</t>
  </si>
  <si>
    <t>94957</t>
  </si>
  <si>
    <t>Mr. Samuel Skinner is a Co-Founder and serves as Board Advisor at All of Us Financial. He serves as Advisor at SMS Assist. He served as Chief Operating Officer &amp; Managing Director at Woodside Capital Partners. He has been engaged in the investment banking, research sales and brokerage business for the last 25 years. He has worked in a variety of capacities including senior management, institutional sales, technology research and corporate finance. Prior to his hiring at WCP, he was the Chief Operating Officer and Chief Compliance Officer of Inflection Point Research, an independent research firm from 2006-2011. Prior to IPR, he was an Executive Vice President Institutional Sales for Moors &amp; Cabot, a Boston-based brokerage firm, where he ran their West Coast Capital Markets operations from 1998 to 2004. During his tenure at Moors &amp; Cabot, Sam expanded the institutional research and sales and trading operation significantly to include both technology research and extensive coverage of regional and mid market financial institutions. Prior to Moors &amp; Cabot, he was the President and CEO of Dakin Securities from 1996 to 1998 and Head of Institutional Sales from 1992 to 1996. From 1990-1992 he was a consultant for Paine Webber where he helped launch a small-cap hedge fund. He began his career with Drexel, Burnham, Lambert, where he worked as a high net worth/institutional salesman.</t>
  </si>
  <si>
    <t>61871-95P</t>
  </si>
  <si>
    <t>Sanjay Sarma Ph.D</t>
  </si>
  <si>
    <t>Sarma</t>
  </si>
  <si>
    <t>Sanjay</t>
  </si>
  <si>
    <t>Top Flight Technologies</t>
  </si>
  <si>
    <t>+1 (774) 855-6811</t>
  </si>
  <si>
    <t>Malden, MA</t>
  </si>
  <si>
    <t>109 Madison Street</t>
  </si>
  <si>
    <t>Malden</t>
  </si>
  <si>
    <t>02148</t>
  </si>
  <si>
    <t>Dr. Sanjay Sarma is a Co-Founder &amp; serves as Board Member of Top Flight Technologies. He co-founded and was the Chairman of Essess. He also serves as Vice President, Open Learning at Massachusetts Institute of Technology. He is a professor in the Mechanical Engineering Department at MIT. He is a sought-after speaker and advisor on the topic of "negawatts" (wasted watts) and the global impact of wasted energy. He has over 50 publications in computational geometry, virtual reality, manufacturing, CAD, RFID, security and embedded computing. He received a Doctorate from the University of California at Berkeley, a Master's degree from Carnegie Mellon University and a Bachelor's degree from the Indian Institute of Technology.</t>
  </si>
  <si>
    <t>42071-05P</t>
  </si>
  <si>
    <t>Satinder Rekhi</t>
  </si>
  <si>
    <t>Rekhi</t>
  </si>
  <si>
    <t>Satinder</t>
  </si>
  <si>
    <t>Founder, Managing Director &amp; Chairman</t>
  </si>
  <si>
    <t>R Systems International</t>
  </si>
  <si>
    <t>+91 (0)12 0430 3500</t>
  </si>
  <si>
    <t>rsingh@rsystems.com</t>
  </si>
  <si>
    <t>Noida, India</t>
  </si>
  <si>
    <t>C – 40, Sector – 59</t>
  </si>
  <si>
    <t>Noida</t>
  </si>
  <si>
    <t>Uttar Pradesh</t>
  </si>
  <si>
    <t>201307</t>
  </si>
  <si>
    <t>+91 (0)12 0258 7123</t>
  </si>
  <si>
    <t>Mr. Rekhi is the Founder, Managing Director &amp; Chairman of R Systems International. He founded Indus Software Technologies and served as its Chairman and Chief Executive Officer of Indus Software Technologies. He served as its Chief Executive Officer until October 2007. He founded R Systems in 1993. He has over 25 years experience. Prior to R Systems, he held senior management positions with HCL Technologies and DISC (now Synergex) in the United States, Singapore and India. He served as a Senior Management personnel of Digital Information Systems Corporation. He has been the Chairman of R Systems International Ltd. since May 25, 2011. He serves as a Director of R Systems International Ltd., R Systems, Inc., R Systems (Singapore) Pte Ltd., Indus Software, Inc. and R Systems Solution, Inc. (formerly, Web Converse, Inc.). He received a Bachelor of Technology from IIT, Kharagpur, India and a Masters in Business Administration from California State University, Sacramento. He has attended several senior management programs from University of Berkeley and Harvard Business School.</t>
  </si>
  <si>
    <t>96397-03P</t>
  </si>
  <si>
    <t>Sergey Karayev Ph.D</t>
  </si>
  <si>
    <t>Karayev</t>
  </si>
  <si>
    <t>Sergey</t>
  </si>
  <si>
    <t>sergeyk@gradescope.com</t>
  </si>
  <si>
    <t>Dr. Sergey Karayev is a Co-Founder and serves as Board Member at Gradescope. He also serves as Strategic Advisory Board Member at GSV Ventures. ergey holds a Ph.D. from UC Berkeley where he researched deep learning for visual style recognition, reinforcement learning for object recognition, point-cloud-aided object detection, and probabilistic visual features. He has a Bachelor's degree in Computer Science from the University of Washington.</t>
  </si>
  <si>
    <t>59608-18P</t>
  </si>
  <si>
    <t>Shaival Shah</t>
  </si>
  <si>
    <t>Shaival</t>
  </si>
  <si>
    <t>Ribbon Home</t>
  </si>
  <si>
    <t>+1 (704) 912-4290</t>
  </si>
  <si>
    <t>shaival@ribbonhome.com</t>
  </si>
  <si>
    <t>29 East 19th Street</t>
  </si>
  <si>
    <t>10003</t>
  </si>
  <si>
    <t>Mr. Shaival Sharad Shah is a Co-Founder and serves as President, Chief Executive Officer &amp; Board Member at Ribbon Home. He serves as Vice President, Business Development &amp; General Manager at Hunch. He also serves as the Board Member at Clarus Marketing Group. He has 15 years of investing, advising and operating experience across the technology and media industry with core competencies in monetization, analytics, business modeling, channel strategy and business development. Most recently, he served as the General Manager and Head of Business Development for Hunch (acquired by eBay), leading all business functions. Prior to Hunch, he worked across several capacities at Salomon Brothers, TA Associates, Polaris Venture Partners, Electronic Arts and Oddcast Media Technologies. He has served as a President's Fellow around scientific research and development and currently serves as a strategic advisor and board member to several technology start-ups. He holds a BS in Biochemistry from University of California, Berkeley.</t>
  </si>
  <si>
    <t>101688-04P</t>
  </si>
  <si>
    <t>Sherif ElRakabawy Ph.D</t>
  </si>
  <si>
    <t>ElRakabawy</t>
  </si>
  <si>
    <t>Sherif</t>
  </si>
  <si>
    <t>Shahry</t>
  </si>
  <si>
    <t>+20 (0)22 1282 350</t>
  </si>
  <si>
    <t>sherif@shahry.app</t>
  </si>
  <si>
    <t>Giza, Egypt</t>
  </si>
  <si>
    <t>Giza</t>
  </si>
  <si>
    <t>Egypt</t>
  </si>
  <si>
    <t>Dr. Sherif ElRakabawy is a Co-Founder of Shahry and serves as its Chief Executive Officer. He is also a Co-Founder and serves as Chief Executive Officer &amp; Chief Technology Officer at Yaoota!. He also serves as an Assistant Professor at American University in Cairo.</t>
  </si>
  <si>
    <t>181416-70P</t>
  </si>
  <si>
    <t>Shijie Hu</t>
  </si>
  <si>
    <t>Shijie</t>
  </si>
  <si>
    <t>APEX Technologies Shanghai</t>
  </si>
  <si>
    <t>+86 (0)21 6170 0720</t>
  </si>
  <si>
    <t>jimmy.hu@chinapex.com.cn</t>
  </si>
  <si>
    <t>Shanghai, China</t>
  </si>
  <si>
    <t>902-908, 1098 Dongdaming Road</t>
  </si>
  <si>
    <t>Hongkou District</t>
  </si>
  <si>
    <t>Shanghai</t>
  </si>
  <si>
    <t>Mr. Jimmy Hu is a Co-Founder and serves as Chief Executive Officer at Chinapex. Mr. Hu also serves as Managing Partner at Ledger Capital. He is leading the company's long-term vision, innovation and product strategy, and establishing the company's brand and positioning of thinking leaders in the industry. In previous experience, services such as internal marketing analysis system development and data mining were provided for large customers including Microsoft. Also a Multi-year data mining related application development experience and adviser to Gerson Lehrman Group and several Asian hedge funds on big data and AI markets in the United States 2017 Forbes 30 Under 30. He holds a Bachelor of Electronics Engineering and Computer Science, University of California, Berkeley.</t>
  </si>
  <si>
    <t>81183-43P</t>
  </si>
  <si>
    <t>Silvio Micali Ph.D</t>
  </si>
  <si>
    <t>Micali</t>
  </si>
  <si>
    <t>Silvio</t>
  </si>
  <si>
    <t>Dr. Silvio Micali is a Co-Founder of Toda.Network. Dr. Micali is the Founder and serves as Principal of Algorand. Dr. Micali served as an Advisory Board Member at Monument Capital Group. Dr. Micali serves as the Ford Professor of Engineering at the Massachusetts Institute of Technology. Since 1983 he has been on the MIT faculty in the Electrical Engineering and Computer Science Department. His research interests are cryptography, zero knowledge, pseudo-random generation, secure protocols, and mechanism design. In the past few years, he turned his attention to Game Theory. In particular, he has been working on developing a more robust form of mechanism design, in which collusion and privacy are explicitly taken into account. Collusion and privacy have always played a central role in our human endeavors, but until this work they had not been central to the game theoretic analysis. He received his Laurea in Mathematics from Sapienza University in Rome, and his Ph.D. in Computer Science from the University of California, Berkeley.</t>
  </si>
  <si>
    <t>92189-71P</t>
  </si>
  <si>
    <t>Sriram Subramanian</t>
  </si>
  <si>
    <t>Subramanian</t>
  </si>
  <si>
    <t>Sriram</t>
  </si>
  <si>
    <t>Bnext (Software)</t>
  </si>
  <si>
    <t>+91 (0)22 6190 3333</t>
  </si>
  <si>
    <t>sriram@bnext.in</t>
  </si>
  <si>
    <t>403-A, Trade Square Building, Mehra Compound, Off Andheri Kurla Road</t>
  </si>
  <si>
    <t>Sakinaka</t>
  </si>
  <si>
    <t>Mr. Sriram Subramanian is a Co-Founder of Bnext and serves as its Chief Technology Officer. He is a Co-Founder of ShoppinPal and serves as its Chief Executive Officer and President. He brings over 10 years of product management, engineering operations, and software development experience. Sriram was one of the lead product managers for PayPalâ€™s Express Checkout product line, which handles over $30 Billion in annual payment volume. Before PayPal, Sriram was a senior R&amp;D engineer at Hewlett-Packard, where he came through the acquisition of Trustgenix, an 8-person enterprise security startup in Silicon Valley. Prior to Trustgenix, he held applied research and consulting roles in large technology companies. Sriram holds an MBA from UC Berkeley, an MS in Information Networking from Carnegie Mellon University, and an undergraduate EE degree from Pune University, India.</t>
  </si>
  <si>
    <t>112553-38P</t>
  </si>
  <si>
    <t>Stephen Bulfer</t>
  </si>
  <si>
    <t>Bulfer</t>
  </si>
  <si>
    <t>StreamLoan</t>
  </si>
  <si>
    <t>+1 (415) 617-9906</t>
  </si>
  <si>
    <t>stephen@streamloan.io</t>
  </si>
  <si>
    <t>3145 Geary Boulevard</t>
  </si>
  <si>
    <t>Suite 247</t>
  </si>
  <si>
    <t>94118</t>
  </si>
  <si>
    <t>Mr. Stephen Bulfer is a Co-Founder and serves as Chief Executive Officer at StreamLoan. He was also a Co-Founder at LifeCellar and also served as its Advisor.</t>
  </si>
  <si>
    <t>224592-13P</t>
  </si>
  <si>
    <t>Steve Markowitz</t>
  </si>
  <si>
    <t>Markowitz</t>
  </si>
  <si>
    <t>Steve</t>
  </si>
  <si>
    <t>LifeDNA</t>
  </si>
  <si>
    <t>+1 (877) 543-3362</t>
  </si>
  <si>
    <t>steve@lifedna.com</t>
  </si>
  <si>
    <t>Honolulu, HI</t>
  </si>
  <si>
    <t>1050 Queen street</t>
  </si>
  <si>
    <t>Honolulu</t>
  </si>
  <si>
    <t>96814</t>
  </si>
  <si>
    <t>Mr. Steve Markowitz is a Co-Founder and serves as the Chairman at LifeDNA. He serves as the Vice Chairman at iFirst Medical Technologies.</t>
  </si>
  <si>
    <t>53955-19P</t>
  </si>
  <si>
    <t>Steven Kaye Ph.D</t>
  </si>
  <si>
    <t>Kaye</t>
  </si>
  <si>
    <t>Steven</t>
  </si>
  <si>
    <t>Co-Founder &amp; Technical Advisor</t>
  </si>
  <si>
    <t>Mosaic (Environmental Services)</t>
  </si>
  <si>
    <t>+1 (510) 910-4615</t>
  </si>
  <si>
    <t>skaye@mosaicmaterials.com</t>
  </si>
  <si>
    <t>614 Bancroft Way</t>
  </si>
  <si>
    <t>Dr. Steven Kaye is a Co-Founder and serves as Technical Advisor at Mosaic (Alternative Energy Equipment). He serves as a Entrepreneur in Residence at Lawrence Berkeley National Laboratory. He was the Chief Scientific Officer at Wildcat Discovery Technologies. Dr. Steven Kaye is the Chief Scientific Officer of Wildcat Discovery Technologies. Upon joining Wildcat, Dr. Kaye played a key role in the development of Wildcat's proprietary high throughput battery materials workflow including unique electrochemical instruments, mills and formulation processes. Utilizing Wildcat's unique high throughput materials discovery workflow, Dr. Kaye has led the Wildcat research team to the discovery of numerous battery materials, including novel high voltage cathode and electrolyte materials. In addition, Dr. Kaye directs Wildcat's many collaborative research projects with corporate customers, focusing on all battery components. In total, Dr. Kaye's research at Wildcat has generated more than thirty patent applications in three years.</t>
  </si>
  <si>
    <t>48809-53P</t>
  </si>
  <si>
    <t>Stuart Moore</t>
  </si>
  <si>
    <t>Moore</t>
  </si>
  <si>
    <t>Stuart</t>
  </si>
  <si>
    <t>Publicis Sapient</t>
  </si>
  <si>
    <t>+1 (617) 621-0200</t>
  </si>
  <si>
    <t>40 Water Street</t>
  </si>
  <si>
    <t>Mr. Moore served as a Board Member at Gild. Stuart is a co-founder of Sapient. Prior to that, Stuart was Sapient's Co-Chairman of the Board and Co-CEO. Stuart holds a B.S. in Computer Science from the University of California, Berkeley.</t>
  </si>
  <si>
    <t>130055-68P</t>
  </si>
  <si>
    <t>Sylvia Kwan</t>
  </si>
  <si>
    <t>Kwan</t>
  </si>
  <si>
    <t>Sylvia</t>
  </si>
  <si>
    <t>Recology</t>
  </si>
  <si>
    <t>+1 (415) 330-1400</t>
  </si>
  <si>
    <t>sylvia.kwan@kwanhenmi.com</t>
  </si>
  <si>
    <t>501 Tunnel Avenue</t>
  </si>
  <si>
    <t>94134</t>
  </si>
  <si>
    <t>Ms. Sylvia Kwan serves as Board Member at Recology. Sylvia founded Kwan Henmi Architecture/Planning Inc in 1980 and serves as Chairman. Some of her major civic projects include the Moscone Center expansions, Pier 45 Commercial Fishing Center, international airports in San Francisco, Oakland, and Guangzhou, and the San Francisco Public Library. Sylvia has served as Chair of the San Francisco Chamber of Commerce Board of Directors in 2000, and as Director of the AIA National Board from 1996 to 1998. Sylvia is a Fellow of the American Institute of Architects and earned a Master of Architecture from the University of California, Berkeley. Sylvia Kwan founded Kwan Henmi Architecture/Planning in 1980 with a commitment to the success of her clients and the realization of their design objectives. Her balance of architectural design expertise paired with her strong communication and leadership skill has enabled Kwan Henmi to have a 37-year legacy within the San Francisco community. In addition to numerous awards for architectural design, Sylvia's personal recognitions include being named among Honoree for Northern California Real Estate Women of Influence, and San Francisco Business Times' 100 Largest Women Owned Companies as well as being listed as one of SFBT's Largest Bay Area Architectural firms. Sylvia received both her B.A. in Architecture with Honors and her Masters of Architecture at University of California at Berkeley. She is a licensed architect in the State of California.</t>
  </si>
  <si>
    <t>36483-94P</t>
  </si>
  <si>
    <t>Ted Sorom</t>
  </si>
  <si>
    <t>Sorom</t>
  </si>
  <si>
    <t>Ted</t>
  </si>
  <si>
    <t>Mantle</t>
  </si>
  <si>
    <t>ted.sorom@mantle3d.com</t>
  </si>
  <si>
    <t>154 Mississippi Street</t>
  </si>
  <si>
    <t>Mr. Ted Sorom is a Co-Founder and serves as Chief Executive Officer at Mantle. Mr. Sorom is the Founder &amp; Chief Executive Officer of Rixty. He leveraged his years of executive experience in high-tech product development and his experience developing cutting edge toys and consumer products. While at Wild Planet Entertainment he managed a majority of the company's product development for such retailers as Target, Gap Kids and Dreamworks. Prior to working at Wild Planet, he was the Chief Technical Officer at Light &amp; Motion where he directed all of the company's high-end sporting goods product development. He has firsthand knowledge of the online entertainment industry gained while helping launch the teen-focused virtual world, vSide. He has spent the past years meeting with youth &amp; adults who lack credit cards researching their unique online finance habits and spending needs. He has spoken at numerous conferences and symposiums including the Engage conference in New York City and the SD Forum's 'Business of New Media' Conference. He holds a Bachelors degree from Dartmouth College, a Masters degree from Stanford University and a MBA degree from the Haas School of Business at UC Berkeley.</t>
  </si>
  <si>
    <t>57399-94P</t>
  </si>
  <si>
    <t>Thomas Chalberg Ph.D</t>
  </si>
  <si>
    <t>Chalberg</t>
  </si>
  <si>
    <t>Ethris</t>
  </si>
  <si>
    <t>+49 (0)89 8955 7880</t>
  </si>
  <si>
    <t>Planegg, Germany</t>
  </si>
  <si>
    <t>Semmelweisstr. 3</t>
  </si>
  <si>
    <t>Planegg</t>
  </si>
  <si>
    <t>82152</t>
  </si>
  <si>
    <t>+49 (0)89 8955 7881 8</t>
  </si>
  <si>
    <t>Dr. Thomas Chalberg is a Co-Founder and serves as Chief Executive Officer and Chief Scientific Officer at SightGlass Vision. He serves as a Board Member at Ethris. Dr. Chalberg previously served as the Chief Operating Officer at Oncorus. Previously, Dr. Chalberg also founded and served as the CEO of Avalanche Biotechnologies, a leader in the discovery and development of gene therapies for blinding diseases. He also served as a Board Member at Verana Health. He has helped the company advance by recruiting the management team and scientific advisory board, and by leading business development efforts related to in-licensing and research collaborations. Prior to joining Avalanche, Dr. Chalberg worked on the ophthalmology team at Genentech, helping to launch Lucentis, a novel therapeutic for age-related macular degeneration. As a Howard Hughes Medical Institute Fellow at Stanford, his research focused on retinal diseases and novel technologies for gene therapy. Dr. Chalberg holds an A.B. from Harvard University, where he graduated magna cum laude and Phi Beta Kappa. He earned a Ph.D. in Genetics from the Stanford University School of Medicine and an MBA from the UC Berkeley Haas School of Business. Tom is a member of the Board of Visionary Scientists for Hope for Vision, a non-profit charity supporting vision research. He also serves as Board Member at DigiSight Technologies.</t>
  </si>
  <si>
    <t>42822-73P</t>
  </si>
  <si>
    <t>Timothy Albinson</t>
  </si>
  <si>
    <t>Albinson</t>
  </si>
  <si>
    <t>Emergent Capital Partners</t>
  </si>
  <si>
    <t>12 Marina View</t>
  </si>
  <si>
    <t>Number 10-02 Asia Square Tower 2</t>
  </si>
  <si>
    <t>018961</t>
  </si>
  <si>
    <t>Mr. Timothy Albinson serves as a Managing Partner at Emergent Capital Partners. He is also the Founder and serves as Chairman at Aravo. He also served as Chief Executive Officer at Aravo Solutions from April 2000 to March 2011. Prior to founding Aravo, he worked in investment banking at Goldman Sachs in New York and as an associate with Core Capital Partners. He also served as President of the Adelante Consulting Group. Mr. Albinson has been an advocate for conservation and sustainability for over two decades, and has worked with organizations including World Wildlife Fund, The Nature Conservancy, American Forests and Fundacion Natura, Ecuador's leading conservation group. Mr. Albinson holds an MBA from the Haas School at the University of California at Berkeley. He also holds a BA in English literature from the University of Colorado at Boulder and is a member of the San Francisco Bay Chapter of the Young Presidents' Organization. He serves on numerous boards and is a Trustee of the Global Institute of Sustainability at Arizona State University. He also teaches entrepreneurship and startup finance at the University of California, Berkeley.</t>
  </si>
  <si>
    <t>51966-82P</t>
  </si>
  <si>
    <t>Todd Mozer</t>
  </si>
  <si>
    <t>Mozer</t>
  </si>
  <si>
    <t>Co-Founder, President, Chief Executive Officer &amp; Chairman</t>
  </si>
  <si>
    <t>Sensory</t>
  </si>
  <si>
    <t>+1 (408) 625-3300</t>
  </si>
  <si>
    <t>tmozer@sensoryinc.com</t>
  </si>
  <si>
    <t>4701 Patrick Henry Drive</t>
  </si>
  <si>
    <t>Building 7</t>
  </si>
  <si>
    <t>+1 (408) 625-3350</t>
  </si>
  <si>
    <t>Todd Mozer is the Co-Founder and also serves as Chief Executive Officer, Chairman and President at Sensory. Mr. Mozer has spent over 25 years in the fields of speech and user interface technologies, and has worked in Silicon Valley high tech companies in positions of sales, marketing, product development and general management. Prior to forming Sensory, Mr. Mozer was involved in the formation and management of several high tech IC and software companies.</t>
  </si>
  <si>
    <t>183322-90P</t>
  </si>
  <si>
    <t>Trent Teti Ph.D</t>
  </si>
  <si>
    <t>Teti</t>
  </si>
  <si>
    <t>Trent</t>
  </si>
  <si>
    <t>Co-Founder, Chairman &amp; Chief Creative Officer</t>
  </si>
  <si>
    <t>Blueprint Test Preparation</t>
  </si>
  <si>
    <t>+1 (310) 477-8383</t>
  </si>
  <si>
    <t>trent.teti@blueprintlsat.com</t>
  </si>
  <si>
    <t>6080 Center Drive</t>
  </si>
  <si>
    <t>Suite 520</t>
  </si>
  <si>
    <t>90045</t>
  </si>
  <si>
    <t>+1 (815) 572-5483</t>
  </si>
  <si>
    <t>Mr. Trent Teti is a Co-Founder of Blueprint Test Preparation and also serves as its Chairman and Chief Creative Officer. Blueprint LSAT Prep began years ago in the living room of Trent's old apartment in Hollywood. Trent wrote the logical reasoning portion of the Blueprint curriculum and designed, produced and co-taught Blueprint: The Movie, the online version of the Blueprint course. Trent oversees the Blueprint Creative Group and is responsible for envisioning and bringing to market new LSAT products. Having taught many thousands of students over ten years with a raw and irreverent style, he's famous in the admittedly small world of the LSAT. Trent holds a BA in Philosophy from the University of California at Berkeley and has been trying for more years than he'd like to complete the Ph.D in philosophy at UCLA that brought him to Los Angeles in the first place.</t>
  </si>
  <si>
    <t>33063-58P</t>
  </si>
  <si>
    <t>Umberto Milletti</t>
  </si>
  <si>
    <t>Milletti</t>
  </si>
  <si>
    <t>Umberto</t>
  </si>
  <si>
    <t>InsideView</t>
  </si>
  <si>
    <t>+1 (415) 728-9300</t>
  </si>
  <si>
    <t>umberto.milletti@insideview.com</t>
  </si>
  <si>
    <t>444 DeHaro Street</t>
  </si>
  <si>
    <t>Mr. Umberto Milleti is the Founder and serves as the Chief Executive Officer and Board Member at InsideView. He also serves as an Advisor of The College Company. He co-founded DigitalThink and served as its Vice President of Solutions Management since April 1996. Beginning in 1996, he served in key roles with DigitalThink, serving as General Manager of Products, Vice President of Technology and Vice President of Marketing &amp; Product Management. From March 1993 to March 1996, he served as Director of Product Development of Knowledge Revolution. He also served in various management positions with Integrated Systems. He has been a Member of Software Division Board at Software &amp; Information Industry Association since April 2010. He holds a B.S., summa cum laude, in Electrical Engineering from Tufts University and a M.S. in Electrical Engineering and Computer Science from the University of California at Berkeley.</t>
  </si>
  <si>
    <t>148011-94P</t>
  </si>
  <si>
    <t>Valantis Vais</t>
  </si>
  <si>
    <t>Vais</t>
  </si>
  <si>
    <t>Valantis</t>
  </si>
  <si>
    <t>Solar Analytics</t>
  </si>
  <si>
    <t>+1 (510) 986-4237</t>
  </si>
  <si>
    <t>valantis@solaranalytics.com</t>
  </si>
  <si>
    <t>426 17th Street</t>
  </si>
  <si>
    <t>Mr. Valantis Vais is a Co-Founder of Solar Analytics. He is also a Co-Founder of Enosi Australia.</t>
  </si>
  <si>
    <t>38426-59P</t>
  </si>
  <si>
    <t>Wayne Wei-Ming Dai Ph.D</t>
  </si>
  <si>
    <t>Wei-Ming Dai</t>
  </si>
  <si>
    <t>Co-Founder, Chairman, President &amp; Chief Executive Officer</t>
  </si>
  <si>
    <t>VeriSilicon</t>
  </si>
  <si>
    <t>+86 (0)21 5131 1118</t>
  </si>
  <si>
    <t>wayne@verisilicon.com</t>
  </si>
  <si>
    <t>20F, Number 289, Chunxiao Road, Zhangjiang Hi-Tech Park</t>
  </si>
  <si>
    <t>Pudong New Area</t>
  </si>
  <si>
    <t>201203</t>
  </si>
  <si>
    <t>+86 (0)121 5131 1119</t>
  </si>
  <si>
    <t>Dr. Wayne Wei-Ming Dai is a Co-Founder and serves as the Chairman, President and Chief Executive Officer at VeriSilicon. Dr. Dai is the Co-Chairman at Celestry Design Technologies, Inc. Dr. Dai received the B.A. degree in Computer Science and Ph.D. degree in Electrical Engineering from the University of California at Berkeley, in 1983 and 1988, respectively. He was the founding Chairman of the IEEE Multi-Chip Module Conference, held annually in Santa Cruz, California since 1991. He was the founding and general Chairman of IEEE Symposium on IC/Package Design Integration. Dr. Dai was a member of the Scientific Advisory Committee for Cadence Design Systems. He received the Presidential Young Investigator Award in 1990. In 1995, he founded Ultima Interconnect Technology, Inc., where he was the Chairman of the Board. Today, he is the professor of Computer Engineering at UC Santa Cruz.</t>
  </si>
  <si>
    <t>237253-15P</t>
  </si>
  <si>
    <t>Weimin Dai Ph.D</t>
  </si>
  <si>
    <t>Dai</t>
  </si>
  <si>
    <t>Weimin</t>
  </si>
  <si>
    <t>Co-Founder &amp; Chairman &amp; President</t>
  </si>
  <si>
    <t>Sunna Technology</t>
  </si>
  <si>
    <t>+86 (0)21 5898 2086</t>
  </si>
  <si>
    <t>weimin.dai@verisilicon.com</t>
  </si>
  <si>
    <t>Room 507, No.781 Cailun Road</t>
  </si>
  <si>
    <t>Zhangjiang Hi-Tech Park, Pudong New Area</t>
  </si>
  <si>
    <t>+86 (0)21 5089 0939</t>
  </si>
  <si>
    <t>Dr. Weimin Dai is a Co-Founder and serves as Chairman &amp; President at Sunna Technology. He also founded and serves as Chairman and President at VeriSilicon. Dr. Dai earned his Ph.D degree in Electric Engineering from University of California, Berkeley.</t>
  </si>
  <si>
    <t>137674-45P</t>
  </si>
  <si>
    <t>William Baxter</t>
  </si>
  <si>
    <t>Baxter</t>
  </si>
  <si>
    <t>SeriesX</t>
  </si>
  <si>
    <t>william.baxter@seriesx.net</t>
  </si>
  <si>
    <t>9020 North Capital of Texas Highway</t>
  </si>
  <si>
    <t>Suite 315</t>
  </si>
  <si>
    <t>Mr. William Baxter is a Co-Founder and serves as Chief Technology Officer at SeriesX. He serves as President at SuperScript Technology. He has an irrepressible passion for learning and taking on new challenges. Unusually broad experience in mathematics, programming, management, and entrepreneurship uniquely positions William to help clients build trust, servant leadership, and high-performance culture. William has helped many teams roll out or improve on their agile practices. In 2014 alone he worked with over 15 teams and 5 management groups in industries from consumer intelligence to finance. Nothing satisfied him more than seeing these clients improve customer focused and discover a better products to create. William's love for entrepreneurship started early when he opened a skateboard shop during high school. After earning a PhD in mathematics from UC Berkeley, William founded SuperScript, providing programming and consulting services to clients in publishing and early internet services. Several of his open-source software packages still see widespread use. He later joined the startup CheetahMail, playing a critical role as VP of Technology in building the world's largest email service provider. His next startup, FocusDB, anticipated the explosion of interest in non-relational databases.</t>
  </si>
  <si>
    <t>42705-73P</t>
  </si>
  <si>
    <t>Yehoshua Zeevi Ph.D</t>
  </si>
  <si>
    <t>Zeevi</t>
  </si>
  <si>
    <t>Yehoshua</t>
  </si>
  <si>
    <t>Cortica</t>
  </si>
  <si>
    <t>+972 (0)4 857 0843</t>
  </si>
  <si>
    <t>josh.zeevi@cortica.com</t>
  </si>
  <si>
    <t>Haifa Matam, Israel</t>
  </si>
  <si>
    <t>5 Nahum Het Street</t>
  </si>
  <si>
    <t>Haifa Matam</t>
  </si>
  <si>
    <t>3508504</t>
  </si>
  <si>
    <t>+972 (0)4 857 1294</t>
  </si>
  <si>
    <t>Dr. Yehoshua Zeevi is a Co-Founder of Corsight. He is a Co-Founder and serves as Chief Scientist at Cortica. He has extensive expertise and accolades in the arenas of computer vision, neuroscience, and neural networks. He has been a researcher and professor at the Technion since 1975 where he established the research center dedicated to Vision and Image sciences. Prior to that he was a fellow at both Harvard and MIT. He holds a PhD from the University of California, Berkeley.</t>
  </si>
  <si>
    <t>176227-12P</t>
  </si>
  <si>
    <t>Zexiang Li Ph.D</t>
  </si>
  <si>
    <t>Li</t>
  </si>
  <si>
    <t>Zexiang</t>
  </si>
  <si>
    <t>Changsha Intelligent Driving Institute</t>
  </si>
  <si>
    <t>+86 (0)731 8816 9888</t>
  </si>
  <si>
    <t>li.zx@cidi.ai</t>
  </si>
  <si>
    <t>Changsha, China</t>
  </si>
  <si>
    <t>Building A3-A4</t>
  </si>
  <si>
    <t>No. 336 Xueshi Road, Yuelu District</t>
  </si>
  <si>
    <t>Changsha</t>
  </si>
  <si>
    <t>Hunan</t>
  </si>
  <si>
    <t>Dr. Zexiang Li serves as Founder and Chairman at Changsha Intelligent Driving Institute. He also co-founded Hong Kong X-Tech. He is a professor at the Hong Kong University of Science and Technology. Dr. Li obtained a double Bachelor's degree in electrical engineering and economics from Carnegie Mellon University in 1983. He received a master's degree in mathematics and doctorate degree in electronic engineering and computer science from University of California, Berkeley.</t>
  </si>
  <si>
    <t>101491-39P</t>
  </si>
  <si>
    <t>Zhiyun Tu Ph.D</t>
  </si>
  <si>
    <t>Tu</t>
  </si>
  <si>
    <t>Zhiyun</t>
  </si>
  <si>
    <t>51credit</t>
  </si>
  <si>
    <t>+86 (0)10 8453 0992</t>
  </si>
  <si>
    <t>darwin.tu@51credit.com</t>
  </si>
  <si>
    <t>East Street, No. 40, Yuanjia International Room 303</t>
  </si>
  <si>
    <t>Block A, third floor Office</t>
  </si>
  <si>
    <t>Dongcheng</t>
  </si>
  <si>
    <t>+86 (0)10 5218 1117</t>
  </si>
  <si>
    <t>Dr. Zhiyun Tu is a Co-Founder of 51credit.com. He is the Founder and serves as Chief Executive Officer at Xinyongbao. Previously, he served as Chief Consultant at Trans Union, Decisioning Products, Greater China. Chief Consultant in Greater China Region for Trans Union Advantage(TUA)- decision making and products division, he led the business of personal financial risk management in Hong Kong and mainland of China. He has helped develop the FICO credit score, which was adopted as the standard for consumer credit risk management industry and used by almost all financial institutions in North America.</t>
  </si>
  <si>
    <t>61717-33P</t>
  </si>
  <si>
    <t>Abhik Majumdar Ph.D</t>
  </si>
  <si>
    <t>Majumdar</t>
  </si>
  <si>
    <t>Abhik</t>
  </si>
  <si>
    <t>Vidora</t>
  </si>
  <si>
    <t>+1 (415) 237-3423</t>
  </si>
  <si>
    <t>amajumdar@vidora.com</t>
  </si>
  <si>
    <t>185 Clara Street</t>
  </si>
  <si>
    <t>Suite 102A</t>
  </si>
  <si>
    <t>Mr. Abhik Majumdar is a Co-Founder &amp; serves as Chief Technology Officer at Vidora. Abhik is responsible for the roadmap and build out of Vidora's technology platform. He graduated from IIT and UC Berkeley with a Ph.D. in Electrical Engineering, Computer Science, and Information Theory. Abhik's work has been published and featured in over 20 journal and conference articles. Before Vidora, he was a staff engineer and technical lead at Ooyala and an instrumental part of developing the first generation Flip Video camera.</t>
  </si>
  <si>
    <t>90589-42P</t>
  </si>
  <si>
    <t>Abraham Bachrach Ph.D</t>
  </si>
  <si>
    <t>Bachrach</t>
  </si>
  <si>
    <t>Skydio</t>
  </si>
  <si>
    <t>+1 (855) 463-5902</t>
  </si>
  <si>
    <t>abraham@skydio.com</t>
  </si>
  <si>
    <t>Dr. Abraham Bachrach is a Co-Founder and serves as Chief Technology Officer at Skydio. Led award winning autonomous flight research program at MIT, starting in 2007. Co-founder and technical lead at Google Project Wing. Experience across computer vision, machine learning, system architecture, and vehicle design. Co-author of numerous technical papers and patents. BS, UC Berkeley. MS, PHD, Massachusetts Institute of Technology.</t>
  </si>
  <si>
    <t>245727-55P</t>
  </si>
  <si>
    <t>Adam Blankman</t>
  </si>
  <si>
    <t>Blankman</t>
  </si>
  <si>
    <t>Co-Founder &amp; Head of Product</t>
  </si>
  <si>
    <t>iReits</t>
  </si>
  <si>
    <t>adam.blankman@ireits.com</t>
  </si>
  <si>
    <t>Woodside, CA</t>
  </si>
  <si>
    <t>195 Jane Drive</t>
  </si>
  <si>
    <t>Woodside</t>
  </si>
  <si>
    <t>94062</t>
  </si>
  <si>
    <t>Mr. Adam Blankman is a Co-Founder and serves as the Head of Product at iReits.</t>
  </si>
  <si>
    <t>182538-28P</t>
  </si>
  <si>
    <t>Adam Kahane</t>
  </si>
  <si>
    <t>Kahane</t>
  </si>
  <si>
    <t>Co-Founder, Director, Partner &amp; Chairman, North America</t>
  </si>
  <si>
    <t>Reos Partners</t>
  </si>
  <si>
    <t>+41 (0)76 779 9182</t>
  </si>
  <si>
    <t>kahane@reospartners.com</t>
  </si>
  <si>
    <t>Geneva, Switzerland</t>
  </si>
  <si>
    <t>Avenue de Secheron 15</t>
  </si>
  <si>
    <t>Geneva</t>
  </si>
  <si>
    <t>1202</t>
  </si>
  <si>
    <t>Mr. Adam Kahane is a Co-Founder of Reos Partners and also serves as its Director, Partner and Chairman of North American Division. He has always wanted to work on important and difficult challenges. When he was younger, he thought of these challenges as problems that could be solved by experts, and he wanted to be one. He studied physics at McGill University in Montreal and energy and resource economics at the University of California, Berkeley, and held a series of public policy research positions in North America, Europe, and Japan. Then he worked as a corporate planner at Pacific Gas and Electric Company in San Francisco and as the head of global social, political, economic, environmental, and technological scenarios at Royal Dutch Shell in London.</t>
  </si>
  <si>
    <t>63678-52P</t>
  </si>
  <si>
    <t>Adam Kinsey Ph.D</t>
  </si>
  <si>
    <t>Kinsey</t>
  </si>
  <si>
    <t>Ventrix</t>
  </si>
  <si>
    <t>+1 (619) 800-0810</t>
  </si>
  <si>
    <t>adamkinsey@ventrixheart.com</t>
  </si>
  <si>
    <t>3030 Bunker Hill Street</t>
  </si>
  <si>
    <t>Suite 117D</t>
  </si>
  <si>
    <t>92109</t>
  </si>
  <si>
    <t>Dr. Adam Kinsey is a Co-Founder of Ventrix and serves as its Chief Executive Officer. He has focused on launching and supporting biotechnology startups. Prior to Ventrix, Dr. Kinsey was a private consultant in business development and start-up intellectual property strategy at a variety of biotech startups. He was also formerly at Wilson Sonsini Goodrich &amp; Rosati, where he focused on helping fledgling companies and venture capital investors establish and identify IP strategies. Dr. Kinsey has a B.S. in Biomedical Engineering from Johns Hopkins University and completed his Ph.D. in Bioengineering at UC Berkeley and UCSF. In addition, he holds a certificate in Management of Technology from the Haas School of Business.</t>
  </si>
  <si>
    <t>97961-95P</t>
  </si>
  <si>
    <t>Adam Mendelsohn Ph.D</t>
  </si>
  <si>
    <t>Mendelsohn</t>
  </si>
  <si>
    <t>Co-Founder, Chief Executive Officer, Chairman, President and Board Member</t>
  </si>
  <si>
    <t>Nano Precision Medical</t>
  </si>
  <si>
    <t>+1 (310) 488-8158</t>
  </si>
  <si>
    <t>adam@nanoprecisionmedical.com</t>
  </si>
  <si>
    <t>5858 Horton Street</t>
  </si>
  <si>
    <t>Suite 280</t>
  </si>
  <si>
    <t>+1 (415) 576-0300</t>
  </si>
  <si>
    <t>Dr. Adam Mendelsohn is a Co-Founder and serves as Chief Executive Officer, Chairman President and Board Member at Nano Precision Medical. Since founding Nano Precision Medical, Dr. Mendelsohn has served as its Chief Executive Officer and sets the strategic vision for the company. Dr. Mendelsohn received his Ph.D. in bioengineering at the UC San Francisco/UC Berkeley Joint Graduate Group in Bioengineering, Class of 2011, during which he was awarded an NSF fellowship to perform research at Kyoto University, and published multiple peer-reviewed articles describing new treatment options for Type 1 diabetes through the immuno-isolated transplantation of insulin-producing cells under the direction of Professor Tejal A. Desai. While in graduate school, Dr. Mendelsohn served as the director for the Venture Innovation Program in Life Sciences and completed his certificate in Management of Technology with the Haas School of Business. Dr. Mendelsohn currently is a Technical Advisor to the Alfred E. Mann Institute for Biomedical Engineering at USC, a fellow of the Startup Leadership Program, the President of UCSF's Graduate Division Alumni Association, and a board member of the Maestro Foundation.</t>
  </si>
  <si>
    <t>128714-23P</t>
  </si>
  <si>
    <t>Adnan Iqbal</t>
  </si>
  <si>
    <t>Iqbal</t>
  </si>
  <si>
    <t>Adnan</t>
  </si>
  <si>
    <t>Luma Health</t>
  </si>
  <si>
    <t>+1 (415) 741-3377</t>
  </si>
  <si>
    <t>adnan@lumahealth.io</t>
  </si>
  <si>
    <t>Mr. Adnan Iqbal is a Co-Founder and serves as Chief Executive Officer at Luma Health. He has studied at Stanford University and University of Cambridge.</t>
  </si>
  <si>
    <t>44706-79P</t>
  </si>
  <si>
    <t>Adya Tripathi Ph.D</t>
  </si>
  <si>
    <t>Tripathi</t>
  </si>
  <si>
    <t>Adya</t>
  </si>
  <si>
    <t>Founder, Chairman &amp; Chief Technology Officer</t>
  </si>
  <si>
    <t>Tula Technology</t>
  </si>
  <si>
    <t>+1 (408) 708-7500</t>
  </si>
  <si>
    <t>adya@tulatech.com</t>
  </si>
  <si>
    <t>2460 Zanker Road</t>
  </si>
  <si>
    <t>+1 (408) 708-7501</t>
  </si>
  <si>
    <t>Dr. Adya S. Tripathi is the Founder and serves as Chairman &amp; Chief Technology Officer of Tula Technology. As an innovator of Digital Amplification technology, the company filed over 100 US Patents, many of which were authored by Dr. Tripathi himself. Dr. Tripathi was heralded as the technical visionary behind the company's products, which were widely adopted by market leaders in the consumer electronics business, including Sony, Panasonic, Sharp, Toshiba, Hitachi, Sanyo, Samsung, Alpine, Apple Computer and Bose. Prior to founding Tripath Technology, Inc., Dr. Tripathi worked at several Silicon Valley companies including IBM, Hewlett Packard, and National Semiconductor, in various technical and management positions. He received his B.Tech, and M.Tech degrees in Electronics Engineering from Banaras Hindu University, in India, and pursued graduate work in Electrical Engineering at the University of Nevada Reno, and the University of California, Berkeley, receiving his Ph.D. in Electrical Engineering from the former in May 1984.</t>
  </si>
  <si>
    <t>230903-92P</t>
  </si>
  <si>
    <t>Afrooz Family</t>
  </si>
  <si>
    <t>Family</t>
  </si>
  <si>
    <t>Afrooz</t>
  </si>
  <si>
    <t>Syng</t>
  </si>
  <si>
    <t>+1 (770) 354-0915</t>
  </si>
  <si>
    <t>afrooz@syng.la</t>
  </si>
  <si>
    <t>120 Mildred Avenue</t>
  </si>
  <si>
    <t>Venice</t>
  </si>
  <si>
    <t>90291</t>
  </si>
  <si>
    <t>Mr. Afrooz Family is a Co-Founder and serves as the Chief Technology Officer at Syng.</t>
  </si>
  <si>
    <t>48919-78P</t>
  </si>
  <si>
    <t>Agostino Forestiero Ph.D</t>
  </si>
  <si>
    <t>Forestiero</t>
  </si>
  <si>
    <t>Agostino</t>
  </si>
  <si>
    <t>Eco4Cloud</t>
  </si>
  <si>
    <t>+39 09 8449 4276</t>
  </si>
  <si>
    <t>forestiero@eco4cloud.com</t>
  </si>
  <si>
    <t>Rende, Italy</t>
  </si>
  <si>
    <t>Piazza Vermicelli</t>
  </si>
  <si>
    <t>Rende</t>
  </si>
  <si>
    <t>Cosenza</t>
  </si>
  <si>
    <t>87036</t>
  </si>
  <si>
    <t>Italy</t>
  </si>
  <si>
    <t>Dr. Agostino Forestiero is a Co-Founder &amp; serves as Chief Architect at Eco4Cloud. He is a computer engineer and PhD in Computer Science and also a researcher at the Institute of High Performance Computing and Networking of the National Research Council of Italy. He coauthored over 50 scientific papers published in international journals and conference proceedings. He received best Paper Award at Cluster, Cloud and Grid Computing Conference 2009 (Shanghai). His research interests include cloud and green computing, P2P networks, cyber security, and swarm intelligence.</t>
  </si>
  <si>
    <t>98332-93P</t>
  </si>
  <si>
    <t>Aihua Fu Ph.D</t>
  </si>
  <si>
    <t>Fu</t>
  </si>
  <si>
    <t>Aihua</t>
  </si>
  <si>
    <t>Nvigen</t>
  </si>
  <si>
    <t>+1 (408) 970-9988</t>
  </si>
  <si>
    <t>aihuafu@nvigen.com</t>
  </si>
  <si>
    <t>285 Sobrante Way</t>
  </si>
  <si>
    <t>Suite AB</t>
  </si>
  <si>
    <t>Dr. Aihua Fu is a Co-Founder and serves as Chief Executive Officer, President &amp; Board Member at Nvigen.</t>
  </si>
  <si>
    <t>141924-61P</t>
  </si>
  <si>
    <t>AJ Cantu</t>
  </si>
  <si>
    <t>Cantu</t>
  </si>
  <si>
    <t>AJ</t>
  </si>
  <si>
    <t>Primer (Media and Information Services)</t>
  </si>
  <si>
    <t>aj@goprimer.com</t>
  </si>
  <si>
    <t>1895 Jackson Street</t>
  </si>
  <si>
    <t>Suite 503</t>
  </si>
  <si>
    <t>94109</t>
  </si>
  <si>
    <t>Mr. AJ Cantu is a Co-Founder of Primer and serves as its Chief Technology Officer. Previously, he served as Vice President of Engineering at Lumosity and Vice President of Engineering at 6waves Lolapps. Prior to those positions, he was an Engineering Manager at Marchex. Mr. Cantu received a Bachelor of Science in Electrical Engineering &amp; Computer Science from the University of California, Berkeley. He went on to earn a Master of Science in Computer Science from Stanford University.</t>
  </si>
  <si>
    <t>47787-13P</t>
  </si>
  <si>
    <t>Ajay Kshatriya</t>
  </si>
  <si>
    <t>Kshatriya</t>
  </si>
  <si>
    <t>Biota</t>
  </si>
  <si>
    <t>1301 Fannin Street</t>
  </si>
  <si>
    <t>Suite 2420</t>
  </si>
  <si>
    <t>77002</t>
  </si>
  <si>
    <t>Mr. Ajay Kshatriya is a Co-Founder and serves as Chief Executive Officer at Biota. He was an Entrepreneur-in-Residence at XSeed Capital and provides strategic consulting to several companies while searching for his next entrepreneurial mission. Most recently, he was a General Manager at Bio Architecture Lab, where he led the chemical business from concept to product and negotiated several partnership and licensing agreements. Prior to that, he was the first associate investor at XSeed Capital supporting deals in information technology, health care, and energy. Prior to getting involved in venture capital, Ajay was a Senior Manager at Genentech (NYSE: DNA) with increasing leadership roles in operations and engineering, and an Engineer at Kinetic Systems, a technical services firm acquired by Alfa Laval (OMX: ALFA). Ajay holds a BS and MS in Engineering from UC Berkeley and Stanford University, respectively, and an MBA from the UC Berkeley Haas School of Business.</t>
  </si>
  <si>
    <t>44125-12P</t>
  </si>
  <si>
    <t>Ajeet Shankar Ph.D</t>
  </si>
  <si>
    <t>Shankar</t>
  </si>
  <si>
    <t>Ajeet</t>
  </si>
  <si>
    <t>Everlaw</t>
  </si>
  <si>
    <t>+1 (844) 383-7529</t>
  </si>
  <si>
    <t>aj@easyesi.com</t>
  </si>
  <si>
    <t>2101 Webster Street</t>
  </si>
  <si>
    <t>Suite 1500</t>
  </si>
  <si>
    <t>Dr. Ajeet Shankar is a Co-Founder of Everlaw and serves as its Chief Executive Officer and Board Member. He also served as Senior Software Engineer at TheFind.</t>
  </si>
  <si>
    <t>103872-52P</t>
  </si>
  <si>
    <t>Akwasi Apori Ph.D</t>
  </si>
  <si>
    <t>Apori</t>
  </si>
  <si>
    <t>Akwasi</t>
  </si>
  <si>
    <t>Correlia Biosystems</t>
  </si>
  <si>
    <t>+1 (510) 859-4577</t>
  </si>
  <si>
    <t>aapori@correliabio.com</t>
  </si>
  <si>
    <t>626 Bancroft Way</t>
  </si>
  <si>
    <t>Suite A</t>
  </si>
  <si>
    <t>Dr. Akwasi Apori is a Co-Founder and serves as President, Board Member, and Chief Executive Officer at Correlia Biosystems. He completed his Ph.D. in Bioengineering at UC Berkeley/UCSF where he developed microscale assays for quantitative biology. He previously worked as a systems engineer at Boeing Satellite Systems and was a founder and principal investigator at Quantsupport. He obtained his BS/MS in Aeronautics and Astronautics from MIT.</t>
  </si>
  <si>
    <t>236225-62P</t>
  </si>
  <si>
    <t>Al Cabrini</t>
  </si>
  <si>
    <t>Cabrini</t>
  </si>
  <si>
    <t>Al</t>
  </si>
  <si>
    <t>Conformity360</t>
  </si>
  <si>
    <t>+1 (646) 205-3213</t>
  </si>
  <si>
    <t>acabrini@conformity360.com</t>
  </si>
  <si>
    <t>175 Varick Street</t>
  </si>
  <si>
    <t>8th floor</t>
  </si>
  <si>
    <t>Mr. Al Cabrini is the Founder and serves as Managing Partner at Conformity360. Before founding Conformity in 2010, Al spent 18 years in capital markets and Fintech. He was the head of European Algorithmic Trading at Bear Stearns and prior to that he ran the Global Analytics Desk at Merrill. Al started his career at Oracle Corporation in 1990 working in the application group. Later, he co-founded CenterView software, a client/server tool company funded by Hummer/Winblad &amp; US Ventures, which later was successfully acquired by Informix in 1995. Al has a B.A. in Mathematics from University of California at Berkeley.</t>
  </si>
  <si>
    <t>35912-26P</t>
  </si>
  <si>
    <t>Alan Heeger Ph.D</t>
  </si>
  <si>
    <t>Heeger</t>
  </si>
  <si>
    <t>LungLife AI</t>
  </si>
  <si>
    <t>+1 (805) 409-9868</t>
  </si>
  <si>
    <t>Thousand Oaks, CA</t>
  </si>
  <si>
    <t>2545 West Hillcrest Drive</t>
  </si>
  <si>
    <t>Suite 140</t>
  </si>
  <si>
    <t>Thousand Oaks</t>
  </si>
  <si>
    <t>91320</t>
  </si>
  <si>
    <t>+1 (805) 855-2003</t>
  </si>
  <si>
    <t>Dr. Alan Heeger is a Co-Founder and serves as Board Member at LungLife AI. He co-founded and served as Chairman at CBRITE. He also served as Venture Partner at NGEN Partners. He holds a Presidential Chair at University of California, Santa Barbara. He currently serves as a Professor of Physics and Materials at the University of California at Santa Barbara. He was the founder of DuPont Displays. His research focuses on the science and technology of semiconducting and metallic polymers including studies of polymer-based light-emitting displays, polymer field effect transistors, polymer-based solar cells, and polymer lasers. He recently initiated a biosensors program including the detection of specific DNA sequences. He has a distinguished background as an entrepreneur. Previously, he is the Co-Founder and Consultant to Uniax Corporation. Prior to joining the UCSB faculty in 1982, he was a Professor at the University of Pennsylvania from 1967 to 1982 and an Associate Professor from 1962. He served as a Director of Laboratory for Research on the Structure of Matter at the University of Pennsylvania from 1978 to 1981 and as an Acting Vice Provost for Research, University of Pennsylvania from 1981 to 1982. He currently serves on the Boards of three early stage technology companies including Konarka Technologies. He was a Member of the Advisory Board at Angeleno Group. He holds honorary degrees from many Universities in the United States, Asia, Europe and Israel.</t>
  </si>
  <si>
    <t>75613-15P</t>
  </si>
  <si>
    <t>Albert Eloyan</t>
  </si>
  <si>
    <t>Eloyan</t>
  </si>
  <si>
    <t>Albert</t>
  </si>
  <si>
    <t>Surprise HR</t>
  </si>
  <si>
    <t>+1 (415) 795-7357</t>
  </si>
  <si>
    <t>Raleigh, NC</t>
  </si>
  <si>
    <t>434 Fayetteville Street</t>
  </si>
  <si>
    <t>Raleigh</t>
  </si>
  <si>
    <t>27601</t>
  </si>
  <si>
    <t>Mr. Albert Eloyan is a Co-Founder and serves as Chief Executive Officer at Surprise HR. Previously, he was the Co-Founder and Head of Engineering at Jargon.</t>
  </si>
  <si>
    <t>192959-92P</t>
  </si>
  <si>
    <t>Alejandro Maldonado</t>
  </si>
  <si>
    <t>Maldonado</t>
  </si>
  <si>
    <t>Alejandro</t>
  </si>
  <si>
    <t>Co-Founder, Chief Executive Officer, President &amp; Chairman</t>
  </si>
  <si>
    <t>At HUM</t>
  </si>
  <si>
    <t>alejandro@athum.co</t>
  </si>
  <si>
    <t>75 East Santa Clara Street</t>
  </si>
  <si>
    <t>Mr. Alejandro Maldonado serves as Chief Executive Officer, President &amp; Chairman at At Hum. He has served as Chief Executive Officer at Flow Studio. At HUM offers a fully integrated platform that brings analytics and powerful visuals that empowers future homeowners to have a full understanding of the potential of a property, as if they were already living there. He brings 15 years experience in the real estate industry. His previous venture -Flow Studio- was an awarded creative studio based in the San Francisco Bay Area, focused exclusively for interior designers, architectural clients, and developers. He holds an MBA from the UC Berkeley - Haas and a BA in Communications from Universidad Iberoamericana with a strong emphasis in marketing.</t>
  </si>
  <si>
    <t>197215-03P</t>
  </si>
  <si>
    <t>Alek Strygin</t>
  </si>
  <si>
    <t>Strygin</t>
  </si>
  <si>
    <t>Alek</t>
  </si>
  <si>
    <t>Co-Founder, Chief Operating Officer and Head of Product</t>
  </si>
  <si>
    <t>Portside</t>
  </si>
  <si>
    <t>+1 (415) 849-1886</t>
  </si>
  <si>
    <t>astrygin@portside.co</t>
  </si>
  <si>
    <t>201 Mission Street</t>
  </si>
  <si>
    <t>Suite 2350</t>
  </si>
  <si>
    <t>Mr. Alek Strygin is a Co-Founder and serves as Chief Operating Officer and Head of Product at Portside. He has extensive experience in developing award-winning consumer and enterprise software. After a career as a management consultant and an attorney, he co-founded GetGoing, a Y Combinator company, acquired in 2016 by BCD Travel, a global corporate travel conglomerate with $25B in sales and 13,000 employees in 100+ countries around the world. At BCD, he led further development and deployment of the GetGoing technology, reaching a record $1B in transactions through the platform in less than 2 years. He holds a B.A. in Economics from University of California, Berkeley and a J.D. from the University of Southern California.</t>
  </si>
  <si>
    <t>44342-47P</t>
  </si>
  <si>
    <t>Alek Vernitsky</t>
  </si>
  <si>
    <t>Vernitsky</t>
  </si>
  <si>
    <t>avernitsky@portside.co</t>
  </si>
  <si>
    <t>Mr. Alek Vernitsky is a Co-Founder and serves as Chief Executive Officer at Portside. He served as Senior Vice President, Product Strategy at BCD Travel. He was a Co-Founder and served as Chief Executive Officer at GetGoing. Prior to GetGoing, he was at Bain &amp; Co. He is also a member of the Board of Directors at Youth Hosteling International. He holds an M.B.A. from Harvard Business School and a B.A. from the University of California, Berkeley.</t>
  </si>
  <si>
    <t>212189-41P</t>
  </si>
  <si>
    <t>Alessandro Garcia</t>
  </si>
  <si>
    <t>Garcia</t>
  </si>
  <si>
    <t>Alessandro</t>
  </si>
  <si>
    <t>Solides Tecnologia</t>
  </si>
  <si>
    <t>+55 31 3262 3464</t>
  </si>
  <si>
    <t>alessandro@solides.com.br</t>
  </si>
  <si>
    <t>Belo Horizonte, Brazil</t>
  </si>
  <si>
    <t>Tome de Souza Street, 845</t>
  </si>
  <si>
    <t>Belo Horizonte</t>
  </si>
  <si>
    <t>Brazil</t>
  </si>
  <si>
    <t>Mr. Alessandro Garcia is a Co-Founder of Solides Tecnologia.</t>
  </si>
  <si>
    <t>110294-20P</t>
  </si>
  <si>
    <t>Alex Beckman</t>
  </si>
  <si>
    <t>Beckman</t>
  </si>
  <si>
    <t>GameOn (mobile application)</t>
  </si>
  <si>
    <t>alex@gameontechnology.com</t>
  </si>
  <si>
    <t>555 Clay Street</t>
  </si>
  <si>
    <t>Mr. Alex Beckman is a Co-Founder and serves as Chief Executive Officer at GameOn. He also serves as an Advisor at California Common Sense. He holds BA degree in Film Studies from University of California, Berkeley and MFA in Fine Arts from California College of the Arts.</t>
  </si>
  <si>
    <t>138197-98P</t>
  </si>
  <si>
    <t>Alex Roytfeld</t>
  </si>
  <si>
    <t>Roytfeld</t>
  </si>
  <si>
    <t>Co-Founder &amp; Engineering Executive</t>
  </si>
  <si>
    <t>Heymarket</t>
  </si>
  <si>
    <t>+1 (415) 562-0100</t>
  </si>
  <si>
    <t>alex@heymarket.com</t>
  </si>
  <si>
    <t>2443 Fillmore Street</t>
  </si>
  <si>
    <t>Suite 510</t>
  </si>
  <si>
    <t>Mr. Alex Roytfeld is a Co-Founder and serves as Engineering Executive at Heymarket.</t>
  </si>
  <si>
    <t>192596-68P</t>
  </si>
  <si>
    <t>Alex Soong</t>
  </si>
  <si>
    <t>Soong</t>
  </si>
  <si>
    <t>Set (Financial Software)</t>
  </si>
  <si>
    <t>alex@setprotocol.com</t>
  </si>
  <si>
    <t>338 Main Street</t>
  </si>
  <si>
    <t>Mr. Alex Soong is a Co-Founder and serves as Chief Technology Officer at Set Protocol. Previously, he served at Square, Caviar, Apple and Zynga. He completed his B.S. from UC Berkeley.</t>
  </si>
  <si>
    <t>220206-43P</t>
  </si>
  <si>
    <t>Alex Wang</t>
  </si>
  <si>
    <t>Ember Fund</t>
  </si>
  <si>
    <t>+1 (310) 985-3792</t>
  </si>
  <si>
    <t>alex@emberfund.io</t>
  </si>
  <si>
    <t>6060 Center Drive</t>
  </si>
  <si>
    <t>Floor 10</t>
  </si>
  <si>
    <t>Mr. Alex Wang is a Co-Founder of Ember Fund and serves as its Chief Executive Officer and Board Member. He holds a BS degree from University of California, Berkeley.</t>
  </si>
  <si>
    <t>245819-17P</t>
  </si>
  <si>
    <t>Alexa Syniacheva</t>
  </si>
  <si>
    <t>Syniacheva</t>
  </si>
  <si>
    <t>Alexa</t>
  </si>
  <si>
    <t>Moeco IoT</t>
  </si>
  <si>
    <t>asyniacheva@moeco.io</t>
  </si>
  <si>
    <t>Mauerstraße 83-84</t>
  </si>
  <si>
    <t>10117</t>
  </si>
  <si>
    <t>Ms. Alexa Syniacheva is a Co-Founder and serves as Chief Operating Officer and Board Member at Moeco IoT. Alexa has been in business development for the last 12 years helping start-ups drive growth and innovation. Her career has been focused on leading-edge solutions on a global scale, with experience evolving the businesses of D&amp;C Media in Israel, Rambler Russia, RubyDevs both in Ukraine and in the US. Alexa holds a Master degree in Foreign Languages and Literature, International Business Management, she also graduated from the University of California, Berkeley, Haas School of Business (Venture Capital Executive Program). Alexa is an active blockchain community member and a super-connector in the tech industry of Silicon Valley. Alexa joined Moeco in September 2019 to support Moeco in sales and business development as a Customer Success Director and had a quick transition to a COO position in March 2020.</t>
  </si>
  <si>
    <t>208087-57P</t>
  </si>
  <si>
    <t>Alexander Craig</t>
  </si>
  <si>
    <t>Alexander</t>
  </si>
  <si>
    <t>Co-Founder, Chief Technology Officer &amp; Data Scientist</t>
  </si>
  <si>
    <t>Mr. Alexander Craig is a Co-Founder and serves as Chief Technology Officer and Data Scientist at DocuVision. Together with Mr. Mahmoud Hafez, he built AppAdvice, a leading IOS app recommendation company. He pursued Astrophysics, Math and Art at UC Berkeley</t>
  </si>
  <si>
    <t>107601-67P</t>
  </si>
  <si>
    <t>Alexander Kostopoulos</t>
  </si>
  <si>
    <t>Kostopoulos</t>
  </si>
  <si>
    <t>Reportbrain</t>
  </si>
  <si>
    <t>alex@reportbrain.com</t>
  </si>
  <si>
    <t>London, United Kingdom</t>
  </si>
  <si>
    <t>King House, Studio 3</t>
  </si>
  <si>
    <t>5-11 Westbourne Grove, Notting Hill</t>
  </si>
  <si>
    <t>London</t>
  </si>
  <si>
    <t>W2 4UA</t>
  </si>
  <si>
    <t>Mr. Alexander Kostopoulos is a Co-Founder and serves as Chief Executive Officer and President at Reportbrain. With over 20 years of experience in business strategy and technology, Alex's perseverance and innovation are the forces behind reportbrain. Alex received his MBA from the University of California, Berkeley and his MEng in Electrical Engineering &amp; Computer Science from the University of Patra, Greece. Alex's technology foresight and business acumen are essential to the sustainable growth of reportbrain.</t>
  </si>
  <si>
    <t>90393-67P</t>
  </si>
  <si>
    <t>Alexander Schabert</t>
  </si>
  <si>
    <t>Schabert</t>
  </si>
  <si>
    <t>Co-Founder &amp; Chief Commercial Officer</t>
  </si>
  <si>
    <t>ViriCiti</t>
  </si>
  <si>
    <t>+31 (0)20 771 7817</t>
  </si>
  <si>
    <t>a.schabert@viriciti.com</t>
  </si>
  <si>
    <t>Amsterdam, Netherlands</t>
  </si>
  <si>
    <t>Kabelweg 57</t>
  </si>
  <si>
    <t>Amsterdam</t>
  </si>
  <si>
    <t>1014 BA</t>
  </si>
  <si>
    <t>Netherlands</t>
  </si>
  <si>
    <t>Mr. Alexander Schabert is a Co-Founder and serves as Chief Commercial Officer at ViriCiti. He studied mechanical engineering at Technical University of München and UC Berkeley.</t>
  </si>
  <si>
    <t>224062-21P</t>
  </si>
  <si>
    <t>Alexandre Guenoun</t>
  </si>
  <si>
    <t>Guenoun</t>
  </si>
  <si>
    <t>Alexandre</t>
  </si>
  <si>
    <t>Kiro</t>
  </si>
  <si>
    <t>alexandre@byond.bio</t>
  </si>
  <si>
    <t>Marseille, France</t>
  </si>
  <si>
    <t>23 Boulevard des Dames</t>
  </si>
  <si>
    <t>Marseille</t>
  </si>
  <si>
    <t>13009</t>
  </si>
  <si>
    <t>Mr. Alexandre Guenoun is a Co-Founder of Byond and also serves as its Chief Executive Officer. He is in charge of strategy, operations and business development. He started his career in private equity at L Catterton - LVMH (Paris) and in management consulting at Oliver Wyman (Paris). He performed his first mission in the field of artificial intelligence for health for the French Administration (Etalab) in 2015. He graduated from ESSEC in Paris (Grande Ecole program) and UC Berkeley in California, and specialized in innovation at the Università Commerciale Luigi Bocconi in Milan.</t>
  </si>
  <si>
    <t>39374-20P</t>
  </si>
  <si>
    <t>Ali Behnam</t>
  </si>
  <si>
    <t>Behnam</t>
  </si>
  <si>
    <t>Riviera Partners</t>
  </si>
  <si>
    <t>+1 (877) 748-4372</t>
  </si>
  <si>
    <t>abehnam@rivierapartners.com</t>
  </si>
  <si>
    <t>141 10th Street</t>
  </si>
  <si>
    <t>Mr. Ali Behnam is a Co-Founder and serves as Managing Partner at Riviera Partners. He also co-founded and acted as EVP, Operations &amp; Services at PeopleMover, a leading venture-backed developer of Internet based, Enterprise Workforce Management software for staffing, consulting and professional services firms including CSC, Robert Half International, Modis and BEA Systems. PeopleMover was acquired by Opus360 (nasdaq OPUS) in 2000. Prior to PeopleMover, he was the Director, Operations for a $120 million international apparel company. His responsibilities included recruiting and setting the strategic initiatives for the technology and distribution teams. Major initiatives included automating the distribution and manufacturing operations as well as packaging the company for its eventual acquisition in 1999 by Kellwood International. He began his career in professional services for ten years at Andersen Consulting and KPMG Peat Marwick. As a Sr. Manager with KPMG's Strategic Services Consulting Practice, Ali worked with the leading technology and electronic components manufacturers in Southern California. He is a graduate of the University of California at Irvine with a BA in Economics.</t>
  </si>
  <si>
    <t>46196-83P</t>
  </si>
  <si>
    <t>Ali Niknejad Ph.D</t>
  </si>
  <si>
    <t>Niknejad</t>
  </si>
  <si>
    <t>Co-Founder &amp; Chief Technologist</t>
  </si>
  <si>
    <t>LifeSignals</t>
  </si>
  <si>
    <t>+1 (510) 770-6412</t>
  </si>
  <si>
    <t>ali@hmicro.com</t>
  </si>
  <si>
    <t>39355 California Street</t>
  </si>
  <si>
    <t>94538</t>
  </si>
  <si>
    <t>+1 (650) 887-3393</t>
  </si>
  <si>
    <t>Dr. Ali M. Niknejad is the Co-Founder of HealtHMicro and serves as Chief Technologist in the company. He received his B.S.E.E degree from the University of California, Los Angeles and his M.S. and Ph.D. degrees in Electrical Engineering from the University of California, Berkeley.</t>
  </si>
  <si>
    <t>146678-50P</t>
  </si>
  <si>
    <t>RF Pixels</t>
  </si>
  <si>
    <t>+1 (408) 409-4066</t>
  </si>
  <si>
    <t>ali.niknejad@rf-pixels.com</t>
  </si>
  <si>
    <t>333 West EI Camino Real</t>
  </si>
  <si>
    <t>Dr. Ali Niknejad is a Co-Founder of RF Pixels. Ali M. Niknejad (S'93-M'00-SM'10-F'13) received the B.S. degree in electrical engineering from the University of California, Los Angeles, CA, USA, in 1994, and the M.S. and Ph.D. degrees in electrical engineering from the University of California, Berkeley, CA, USA, in 1997 and 2000, respectively. He is currently a full Professor in the EECS Department at UC Berkeley and the faculty director of the Berkeley Wireless Research Center (BWRC). He is a co-founder of HMicro and inventor of the REACH technology, a wireless healthcare company, and RF Pixels, a mm-wave technology company. His research interests lie within the area of wireless and broadband communications and biomedical imaging (RF, mm-wave, and sub-THz), including the implementation of integrated communication systems in silicon using CMOS, SiGe, and BiCMOS processes. The focus areas of his research include analog, RF, mixed-signal, mm-wave circuits, device physics and compact modeling, and numerical techniques in electromagnetics. Prof. Niknejad was the recipient of the 2012 ASEE Frederick Emmons Terman Award for his textbook on electromagnetics and RF integrated circuits. He was a co-recipient of the 2013 Jack Kilby Award for Outstanding Student Paper for his work on an efficient quadrature digital spatial modulator at 60 GHz, and the 2010 Jack Kilby Award for Outstanding Student Paper for his work on a 90 GHz pulser with 30 GHz of bandwidth for medical imaging, and a co-recipient of the Outstanding Technology Directions Paper at ISSCC 2004 for co-developing a modeling approach for devices up to 65 GHz.</t>
  </si>
  <si>
    <t>112928-77P</t>
  </si>
  <si>
    <t>Ali Shakeri</t>
  </si>
  <si>
    <t>Shakeri</t>
  </si>
  <si>
    <t>Co-Founder, Chief Marketing Officer, Chief Revenue Officer &amp; Board Member</t>
  </si>
  <si>
    <t>ali@toneden.io</t>
  </si>
  <si>
    <t>Mr. Ali Shakeri is a Co-Founder and serves as Chief Marketing Officer, Chief Revenue Officer and Board Member at ToneDen.</t>
  </si>
  <si>
    <t>137572-48P</t>
  </si>
  <si>
    <t>Allie Janoch</t>
  </si>
  <si>
    <t>Janoch</t>
  </si>
  <si>
    <t>Allie</t>
  </si>
  <si>
    <t>Mapistry</t>
  </si>
  <si>
    <t>+1 (800) 553-7420</t>
  </si>
  <si>
    <t>allie@mapistry.com</t>
  </si>
  <si>
    <t>PO Box 7775</t>
  </si>
  <si>
    <t>PMB 48849</t>
  </si>
  <si>
    <t>94120</t>
  </si>
  <si>
    <t>Ms. Allie Janoch is a Co-Founder and serves as Chief Executive Officer at Mapistry. Allie is a software engineer and after getting her MS in Computer Science at UC Berkeley, Allie joined IQ Engines to work on image recognition. Yahoo acquired IQ Engines in 2013 and Allie worked on integrating IQE's vision algorithms into Flickr prior to leaving to start Mapistry. She holds a BS (Bachelor of Science) in Computer Science from University of Maryland. She also has a Master's in Computer Science from University of California, Berkeley.</t>
  </si>
  <si>
    <t>184322-62P</t>
  </si>
  <si>
    <t>Allison Rosenberg Ph.D</t>
  </si>
  <si>
    <t>Rosenberg</t>
  </si>
  <si>
    <t>Allison</t>
  </si>
  <si>
    <t>Founder, Chief Executive Officer &amp; President</t>
  </si>
  <si>
    <t>Posed2</t>
  </si>
  <si>
    <t>206-557-4955</t>
  </si>
  <si>
    <t>allison@posed2.com</t>
  </si>
  <si>
    <t>1906 8th Avenue West</t>
  </si>
  <si>
    <t>98119</t>
  </si>
  <si>
    <t>Ms. Allison Rosenberg is the Founder of Posed2 and serves as its Chief Executive Officer &amp; President. She earned Ph.D. in Psychology from Harvard and BA in Psychology from UC Berkeley.</t>
  </si>
  <si>
    <t>58914-73P</t>
  </si>
  <si>
    <t>Allyn McAuley Ph.D</t>
  </si>
  <si>
    <t>McAuley</t>
  </si>
  <si>
    <t>Allyn</t>
  </si>
  <si>
    <t>Lumedx</t>
  </si>
  <si>
    <t>+1 (800) 966-0699</t>
  </si>
  <si>
    <t>allyn.mcauley@lumedx.com</t>
  </si>
  <si>
    <t>555 Twelfth Street</t>
  </si>
  <si>
    <t>Suite 2060</t>
  </si>
  <si>
    <t>94607</t>
  </si>
  <si>
    <t>+1 (510) 419-3699</t>
  </si>
  <si>
    <t>Mr. Allyn McAuley is a Co-Founder and serves as Chief Executive Officer &amp; President at Lumedx. Prior to co-founding the company, he was President/CEO of Pacific Intermark, Inc., a business development and marketing firm. His extensive consulting experience includes more than 100 assignments with organizations ranging from start-ups to Fortune 500 companies in the medical, financial services, real estate investment and technology fields. He holds a BA and PhD from the University of California.</t>
  </si>
  <si>
    <t>15411-97P</t>
  </si>
  <si>
    <t>Amanda Heravi</t>
  </si>
  <si>
    <t>Heravi</t>
  </si>
  <si>
    <t>Amanda</t>
  </si>
  <si>
    <t>Founding Member &amp; Head of Investor Relations</t>
  </si>
  <si>
    <t>Avista Capital Partners</t>
  </si>
  <si>
    <t>+1 (212) 593-6900</t>
  </si>
  <si>
    <t>aheravi@avistacap.com</t>
  </si>
  <si>
    <t>65 East 55th Street</t>
  </si>
  <si>
    <t>18th Floor</t>
  </si>
  <si>
    <t>10022</t>
  </si>
  <si>
    <t>+1 (212) 593-6901</t>
  </si>
  <si>
    <t>Ms. Amanda Heravi is a Founding Member &amp; serves as Head of Investor Relations at Avista Capital Partners. Prior to joining Avista, Ms. Heravi was the Director of Finance and Administration at Dorset Capital Management, which she joined in 1999, where she was responsible for investor relations and the financial, operational and administrative aspects of the fund. Prior to Dorset, Ms. Heravi worked at Montgomery Securities. Ms. Heravi received a B.A. from the University of California, Berkeley.</t>
  </si>
  <si>
    <t>95255-29P</t>
  </si>
  <si>
    <t>Amina Qutub Ph.D</t>
  </si>
  <si>
    <t>Qutub</t>
  </si>
  <si>
    <t>Amina</t>
  </si>
  <si>
    <t>DiBS (visualization software)</t>
  </si>
  <si>
    <t>2450 Holcombe Boulevard</t>
  </si>
  <si>
    <t>77021</t>
  </si>
  <si>
    <t>Dr. Amina Qutub is a Co-Founder of DiBS (visualization software). She Co-Founded and served as the Chief Executive Officer at B3io.</t>
  </si>
  <si>
    <t>110863-09P</t>
  </si>
  <si>
    <t>Amine Bouayad</t>
  </si>
  <si>
    <t>Bouayad</t>
  </si>
  <si>
    <t>Amine</t>
  </si>
  <si>
    <t>Datavolution</t>
  </si>
  <si>
    <t>+1 (866) 936-4339</t>
  </si>
  <si>
    <t>703 Market Street</t>
  </si>
  <si>
    <t>Mr. Bouayad is the Founder of Datavolution and also serves as its Chief Executive Officer.</t>
  </si>
  <si>
    <t>43179-31P</t>
  </si>
  <si>
    <t>Amir Sharif</t>
  </si>
  <si>
    <t>Sharif</t>
  </si>
  <si>
    <t>Amir</t>
  </si>
  <si>
    <t>Co-Founder &amp; Vice President of Marketing and Business Development</t>
  </si>
  <si>
    <t>Aporeto</t>
  </si>
  <si>
    <t>+1 (833) 276-7386</t>
  </si>
  <si>
    <t>amir@aporeto.com</t>
  </si>
  <si>
    <t>10 Almaden</t>
  </si>
  <si>
    <t>Mr. Amir Sharif is a Co-Founder and serves in Vice President of Marketing and Business Development at Aporeto. Prior to this, he served as Vice President, Virtualization and Cloud Infrastructure at Parallels. He and his team are responsible for all server-side technologies and products that enable server, network, and storage virtualization and the easy and rapid deployment of virtual data centers. Previous to Parallels, Mr. Sharif led product management for VMware's core platform, including ESX. Prior to VMware, Mr. Sharif held product management roles at Topspin Communications (acquired by Cisco) and Tasman Networks (acquired by Nortell), where he focused on data center design, high speed networking, and WAN access. He started his technology career at Sun Micsorsystems and holds a bachelors degree in mathematics and philosophy from University of Texas at Austin and an MBA degree from UC Berkeley.</t>
  </si>
  <si>
    <t>40443-40P</t>
  </si>
  <si>
    <t>Amit Narayan Ph.D</t>
  </si>
  <si>
    <t>Narayan</t>
  </si>
  <si>
    <t>Amit</t>
  </si>
  <si>
    <t>Founder, Chief Executive Officer and Board Member</t>
  </si>
  <si>
    <t>AutoGrid</t>
  </si>
  <si>
    <t>+1 (650) 461-9038</t>
  </si>
  <si>
    <t>amit@auto-grid.com</t>
  </si>
  <si>
    <t>255 Shoreline Drive</t>
  </si>
  <si>
    <t>Suite 350</t>
  </si>
  <si>
    <t>+1 (650) 464-7698</t>
  </si>
  <si>
    <t>Dr. Amit Narayan is the Founder and serves as Chief Executive Officer and Board Member at AutoGrid. From 2010 to 2012, he was the Director of Smart Grid Research in Modeling &amp; Simulation at Stanford University, where he led an interdisciplinary project related to modeling, optimization and control of the electricity grid and associated electricity markets. Prior to founding AutoGrid, Amit was the Vice President of Products at the publicly traded company Magma Design Automation, Inc. (Nasdaq: LAVA), where he led the product development and product management teams responsible for Magma's flagship product in the design implementation area. Over one third of all semiconductor chips used in consumer electronic devices - such as smart phones, blue-ray players and video games - were designed using products developed by Amit's team at Magma. Prior to joining Magma, Amit founded Berkeley Design Automation, Inc. (BDA), a venture-backed company in analog and radio-frequency semiconductor design software and served as its founding CEO and later Vice President of Engineering, responsible for all research and product development activities, as well as customer engagements. Under Amit's leadership, BDA saw its products adopted by over 100 semiconductor companies in the world (including 20 out of the top 25). For his work at BDA, Amit received the EDN's "Innovation for the Year" award in 2006. Amit received his B. Tech. in Electrical Engineering from Indian Institute of Technology at Kanpur and Ph.D. from University of California at Berkeley. He has published over 25 papers about design automation, holds seven U.S. patents and is an active advisor to several startup companies in the Bay Area.</t>
  </si>
  <si>
    <t>98187-76P</t>
  </si>
  <si>
    <t>Amit Paka</t>
  </si>
  <si>
    <t>Paka</t>
  </si>
  <si>
    <t>Co-Founder and Chief Product Officer</t>
  </si>
  <si>
    <t>Fiddler Labs</t>
  </si>
  <si>
    <t>+1 (612) 203-6031</t>
  </si>
  <si>
    <t>amit@fiddler.ai</t>
  </si>
  <si>
    <t>291 Lambert Avenue</t>
  </si>
  <si>
    <t>Mr. Amit Paka is a Co-Founder and serves as Chief Product Officer at Fiddler Labs. He is a Co-Founder of Parable. He co-founded Flockish and served as its Chief Executive officer. He has played a key role in the development of successful startup products. Most recently, he was in product management at Microsoft in Display Advertising with past stints in search, contextual and ad exchange advertising. Mr. Paka has an MBA from Haas School of Business, University of California, Berkeley and an MS in Computer Science.</t>
  </si>
  <si>
    <t>36209-26P</t>
  </si>
  <si>
    <t>Amy Prieto Ph.D</t>
  </si>
  <si>
    <t>Prieto</t>
  </si>
  <si>
    <t>Amy</t>
  </si>
  <si>
    <t>Founder, Chief Technology Officer &amp; Chairman</t>
  </si>
  <si>
    <t>Prieto Battery</t>
  </si>
  <si>
    <t>+1 (970) 491-1592</t>
  </si>
  <si>
    <t>amy.prieto@prietobattery.com</t>
  </si>
  <si>
    <t>Fort Collins, CO</t>
  </si>
  <si>
    <t>2301 Research Boulevard</t>
  </si>
  <si>
    <t>Fort Collins</t>
  </si>
  <si>
    <t>80521</t>
  </si>
  <si>
    <t>Dr. Amy Prieto is the Founder and serves as Chief Technology Officer &amp; Chairman at Prieto Battery. Previously she served as Chief Executive Officer &amp; Chief Scientific Officer at Prieto Battery. She launched the Company in 2009 with the goal of bringing an advanced lithium-ion battery technology out of the academic lab and into the marketplace. The first funds raised went towards setting up a lab with better testing equipment and hiring key scientists dedicated to bringing this idea to commercialization. Dr. Prieto balances her time at the Company between overseeing the technology milestones and providing guidance for overall business strategy. Dr. Prieto holds a Ph.D. in Inorganic Chemistry from the University of California, Berkeley and completed her postdoctoral research training at Harvard University. She was a Bell Labs Cooperative Research Fellow at Berkeley, a L'Oreal Foundation Fellow at Harvard, and is recognized as one of the world's experts in the chemistry of nanostructured materials. In July 2012, Dr. Prieto received the Presidential Early Career Award for Scientists and Engineers at the White House, the highest honor bestowed by the United States Government on science and engineering professionals in the early stages of their independent research careers. In 2011, she was named the ExxonMobil Solid State Chemistry Faculty Fellow, a prestigious honor given to one scientist chosen each year out of a national field. Her recent research includes new architectures for high surface area lithium ion batteries, the synthesis of nanoparticles of earth abundant, nontoxic elements for advanced photovoltaics and hydrogen storage, and the development of chemical vapor deposition methods for novel nanostructures.</t>
  </si>
  <si>
    <t>183455-29P</t>
  </si>
  <si>
    <t>An-Chang Deng Ph.D</t>
  </si>
  <si>
    <t>Deng</t>
  </si>
  <si>
    <t>An-Chang</t>
  </si>
  <si>
    <t>Nassda</t>
  </si>
  <si>
    <t>2975 Scott Boulevard</t>
  </si>
  <si>
    <t>Suite 110</t>
  </si>
  <si>
    <t>Dr. An-Chang Deng is the Co-Founder of Nassda. He was a Vice President of Research and Development in the ETG Business Unit of Synopsys from 1997 to 1998. Prior to that, he was a VP of R&amp;D at EPIC Design Technology from 1992 to 1997. He taught at Texas A &amp; M University for three years before serving as a Sr. Software Development Manager at Cadence Design Systems from 1989 to 1992. Dr. Deng received his MS from University of Notre Dame and Ph.D. from University of California at Berkeley.</t>
  </si>
  <si>
    <t>96398-65P</t>
  </si>
  <si>
    <t>Anand Kesavaraju</t>
  </si>
  <si>
    <t>Kesavaraju</t>
  </si>
  <si>
    <t>Anand</t>
  </si>
  <si>
    <t>Co-Founder and Chief Strategy Officer</t>
  </si>
  <si>
    <t>Nodexus</t>
  </si>
  <si>
    <t>+1 (510) 397-0641</t>
  </si>
  <si>
    <t>anand@nodexus.com</t>
  </si>
  <si>
    <t>Hayward, CA</t>
  </si>
  <si>
    <t>22693 Hesperian Boulevard</t>
  </si>
  <si>
    <t>Suite 175</t>
  </si>
  <si>
    <t>Hayward</t>
  </si>
  <si>
    <t>94541</t>
  </si>
  <si>
    <t>Mr. Anand Kesavaraju is a Co-Founder of Nodexus and also serves as its Chief Strategy Officer.</t>
  </si>
  <si>
    <t>42786-46P</t>
  </si>
  <si>
    <t>Anand Kulkarni Ph.D</t>
  </si>
  <si>
    <t>Kulkarni</t>
  </si>
  <si>
    <t>Crowdbotics</t>
  </si>
  <si>
    <t>+1 (510) 730-1729</t>
  </si>
  <si>
    <t>anand@crowdbotics.com</t>
  </si>
  <si>
    <t>Dr. Anand Kulkarni is the Founder and serves as Chief Executive Officer and Board Member at Crowdbotics. He previously co-founded a machine learning / human computation company LeadGenius. As a National Science Foundation PhD fellow in mathematics at UC Berkeley, he worked on the high-dimensional geometry of optimization problems. He holds degrees in mathematics, physics, industrial engineering and operations research.ley.</t>
  </si>
  <si>
    <t>44043-67P</t>
  </si>
  <si>
    <t>Anand Ramanathan</t>
  </si>
  <si>
    <t>Ramanathan</t>
  </si>
  <si>
    <t>Embee Mobile</t>
  </si>
  <si>
    <t>+1 (844) 362-3366</t>
  </si>
  <si>
    <t>anand.ramanathan@embeemobile.com</t>
  </si>
  <si>
    <t>525 Brannan Street</t>
  </si>
  <si>
    <t>Suite 408</t>
  </si>
  <si>
    <t>Mr. Anand Ramanathan is a Co-Founder and serves as Chief Technology Officer at Embee Mobile.</t>
  </si>
  <si>
    <t>47650-15P</t>
  </si>
  <si>
    <t>Anders Tjernlund</t>
  </si>
  <si>
    <t>Tjernlund</t>
  </si>
  <si>
    <t>Anders</t>
  </si>
  <si>
    <t>SwiftStack</t>
  </si>
  <si>
    <t>+1 (415) 625-0293</t>
  </si>
  <si>
    <t>anders@swiftstack.com</t>
  </si>
  <si>
    <t>660 Market Street</t>
  </si>
  <si>
    <t>Mr. Anders Tjernlund is a Co-Founder and serves as Chief Operating Officer &amp; Board Member at SwiftStack. Prior to co-founding SwiftStack, Anders built and ran operations teams at BEA Systems, Engine Yard and other venture backed companies. He was also an EIR at El Dorado Ventures and has advised and consulted for several open-source companies in the cloud and enterprise infrastructure space.</t>
  </si>
  <si>
    <t>79571-08P</t>
  </si>
  <si>
    <t>Andre Tutundjian</t>
  </si>
  <si>
    <t>Tutundjian</t>
  </si>
  <si>
    <t>AlgoLift</t>
  </si>
  <si>
    <t>andre@algolift.com</t>
  </si>
  <si>
    <t>1950 Sawtelle Boulevard</t>
  </si>
  <si>
    <t>Suite 145</t>
  </si>
  <si>
    <t>Mr. Andre Tutundjian is a Co-Founder and serves as Chief Executive Officer &amp; President at AlgoLIFT. Andre is a tech startup veteran with leadership roles in a pair of highly successful Los Angeles tech startups. After leading the analytics division at Cie Games (Acquired by Glu Mobile in 2015), he was the Vice President of Analytics at Scopely in Culver City, CA. He led the data function during the largest growth period of the company. Andre lead development of the data platform and analytics infrastructure during its rapid growth over a 2 year period. Andre holds a B.A in Economics from UC Berkeley and a MA in Economics from Boston University.</t>
  </si>
  <si>
    <t>103134-43P</t>
  </si>
  <si>
    <t>Andrea Barrica</t>
  </si>
  <si>
    <t>Barrica</t>
  </si>
  <si>
    <t>Andrea</t>
  </si>
  <si>
    <t>O.School</t>
  </si>
  <si>
    <t>andrea.barrica@o.school</t>
  </si>
  <si>
    <t>268 Bush Street</t>
  </si>
  <si>
    <t>Suite 3738</t>
  </si>
  <si>
    <t>Ms. Andrea Barrica is the Founder &amp; serves as Chief Executive Officer at O.School. She also served as Venture Partner and Entrepreneur-in-Residence at 500 Startups. From University of California, Berkeley she earned BA in Linguistics and from Bard College she earned Associate of Arts degree in Linguistics.</t>
  </si>
  <si>
    <t>40315-42P</t>
  </si>
  <si>
    <t>Andres Morey</t>
  </si>
  <si>
    <t>Morey</t>
  </si>
  <si>
    <t>Andres</t>
  </si>
  <si>
    <t>Octopart</t>
  </si>
  <si>
    <t>andres@octopart.com</t>
  </si>
  <si>
    <t>43 West 24th Street</t>
  </si>
  <si>
    <t>Suite 12A</t>
  </si>
  <si>
    <t>Mr. Andres Morey is a Co-Founder at Octopart. He has previously worked with UC Berkeley.</t>
  </si>
  <si>
    <t>141052-60P</t>
  </si>
  <si>
    <t>Andrew Armstrong</t>
  </si>
  <si>
    <t>Armstrong</t>
  </si>
  <si>
    <t>Founder, Chief Executive Officer and Managing Partner</t>
  </si>
  <si>
    <t>Kickstart Search Engine Marketing</t>
  </si>
  <si>
    <t>+1 (415) 778-9611</t>
  </si>
  <si>
    <t>andrew@kickstartsearch.com</t>
  </si>
  <si>
    <t>1431 Young Street</t>
  </si>
  <si>
    <t>+1 (415) 962-4060</t>
  </si>
  <si>
    <t>Mr. Andrew Armstrong is the Founder and serves as the Chief Executive Officer and Managing Partner at Kickstart Search Engine Marketing.</t>
  </si>
  <si>
    <t>123571-81P</t>
  </si>
  <si>
    <t>Andrew Hill</t>
  </si>
  <si>
    <t>Hill</t>
  </si>
  <si>
    <t>LiftEd (Mobile App)</t>
  </si>
  <si>
    <t>andrew@liftingeducation.org</t>
  </si>
  <si>
    <t>120 Linden Avenue</t>
  </si>
  <si>
    <t>Brooklyn</t>
  </si>
  <si>
    <t>Mr. Andrew Hill is a Co-Founder of LiftEd and serves as its Chief Executive Officer.</t>
  </si>
  <si>
    <t>193920-85P</t>
  </si>
  <si>
    <t>Andrew Jones Ph.D</t>
  </si>
  <si>
    <t>Jones</t>
  </si>
  <si>
    <t>Activated Research Company</t>
  </si>
  <si>
    <t>+1 (612) 787-2721</t>
  </si>
  <si>
    <t>andrew.jones@activatedresearch.com</t>
  </si>
  <si>
    <t>Eden Prairie, MN</t>
  </si>
  <si>
    <t>7561 Corporate Way</t>
  </si>
  <si>
    <t>Eden Prairie</t>
  </si>
  <si>
    <t>55344</t>
  </si>
  <si>
    <t>Dr. Andrew Jones is a Co-Founder of Activated Research Company and serves as its Chief Executive Officer. Andrew sets the strategic direction of ARC through product innovation and team leadership. He holds B.S. degrees in Chemical Engineering and Chemistry from the University of Minnesota and a Ph.D. in Chemical Engineering from the University of California, Berkeley.</t>
  </si>
  <si>
    <t>56047-69P</t>
  </si>
  <si>
    <t>Andrew Kriouko Ph.D</t>
  </si>
  <si>
    <t>Kriouko</t>
  </si>
  <si>
    <t>Comfy (Smart Building Control)</t>
  </si>
  <si>
    <t>+1 (949) 293-8691</t>
  </si>
  <si>
    <t>andrew@buildingrobotics.com</t>
  </si>
  <si>
    <t>1625 Chestnut Street</t>
  </si>
  <si>
    <t>94702</t>
  </si>
  <si>
    <t>Dr. Andrew Kriouko is a Co-Founder and serves as the Chief Executive Officer of Comfy. As a Ph.D Candidate in Computer Science at U.C. Berkeley, he worked on software infrastructure for implementing building applications at scale. He has previously worked at Intel, Google and IBM on energy efficiency and large-scale distributed systems.</t>
  </si>
  <si>
    <t>42532-48P</t>
  </si>
  <si>
    <t>Andrew Martin Ph.D</t>
  </si>
  <si>
    <t>Martin</t>
  </si>
  <si>
    <t>Scientist</t>
  </si>
  <si>
    <t>+1 (877) 644-3044</t>
  </si>
  <si>
    <t>andrew@scientist.com</t>
  </si>
  <si>
    <t>Solana Beach, CA</t>
  </si>
  <si>
    <t>505 Lomas Santa Fe Drive</t>
  </si>
  <si>
    <t>Solana Beach</t>
  </si>
  <si>
    <t>92075</t>
  </si>
  <si>
    <t>Dr. Andrew Martin is a Co-Founder &amp; serves as Board Member at Assay Depot. His last position was head of informatics at Kalypsys, where he led efforts to build state of the art data analysis, data storage and data mining tools for drug profiling assays used during each stage of the drug discovery process. He received a PhD degree in Chemistry from Peter Schultz's laboratory at the University of California, Berkeley. While at Berkeley and, subsequently, the Scripps Research Institute (TSRI), Andy's research focused on macromolecular conformational dynamics using single-molecule microscopy and dual, site-specific labeling methodologies. Andy received a B.A. degree magna cum laude in chemistry from Carleton College in 1996.</t>
  </si>
  <si>
    <t>95454-46P</t>
  </si>
  <si>
    <t>Andrew Rowland</t>
  </si>
  <si>
    <t>Rowland</t>
  </si>
  <si>
    <t>Classkick</t>
  </si>
  <si>
    <t>+1 (312) 798-9620</t>
  </si>
  <si>
    <t>andrew@getclasskick.com</t>
  </si>
  <si>
    <t>2545 West Diversey</t>
  </si>
  <si>
    <t>Suite 216</t>
  </si>
  <si>
    <t>60647</t>
  </si>
  <si>
    <t>Mr. Andrew Rowland is a Co-Founder at Classkick and serves as Chief Executive Officer. He was the Partner Technology Manager at Google and YouTube. Andrew obsesses over finding ways to increase student achievement. After teaching high school math on Chicago's West side, Andrew worked at Google and YouTube launching products on devices around the world. He has a background in mathematics, economics and computer science from UC Berkeley.</t>
  </si>
  <si>
    <t>200039-77P</t>
  </si>
  <si>
    <t>Andrew Thompson</t>
  </si>
  <si>
    <t>Thompson</t>
  </si>
  <si>
    <t>Safehub</t>
  </si>
  <si>
    <t>+1 (800) 298-2948</t>
  </si>
  <si>
    <t>andy.thompson@safehub.io</t>
  </si>
  <si>
    <t>724 Brannan Street</t>
  </si>
  <si>
    <t>Mr. Andrew Thompson is a Co-Founder of Safehub, where he serves as Chief Executive Officer, Board Member &amp; President. His passion is helping people be safe before and after natural disasters and other catastrophic events. This led him to his career ambition of creating financial incentives for increasing safety &amp; resilience. He has 20 years of experience as an earthquake and structural engineer and founded and led the Catastrophe Risk &amp; Insurance practice at the global engineering consultancy Arup. Here, he worked with corporations and governments around the world to better manage their catastrophe risk, from risk reduction to business continuity planning and insurance. This included supporting clients in numerous post-disasters situations from Japan to Chile to Haiti. He is coauthor of the book Peace of Mind in Earthquake Country and was a recipient of Consulting-Specifying Engineer's 40-Under-40 Award. He has a master's degree in structural and earthquake engineering from the University of California, Berkeley.</t>
  </si>
  <si>
    <t>42794-29P</t>
  </si>
  <si>
    <t>Andrew Tso</t>
  </si>
  <si>
    <t>Tso</t>
  </si>
  <si>
    <t>RocketReach (Bellevue)</t>
  </si>
  <si>
    <t>+1 (833) 212-3828</t>
  </si>
  <si>
    <t>andrew@rocketreach.co</t>
  </si>
  <si>
    <t>Bellevue, WA</t>
  </si>
  <si>
    <t>135 100th Avenue NorthEast</t>
  </si>
  <si>
    <t>Bellevue</t>
  </si>
  <si>
    <t>98004</t>
  </si>
  <si>
    <t>Mr. Andrew Tso is a Co-Founder of RocketReach.co. Previously, he served as Vice President of Growth at ShoCase. He also co-founded and served as the Chief Technology Officer at SocialWeekend. He joined Adknowledge after acquisition of Montipay.</t>
  </si>
  <si>
    <t>125130-88P</t>
  </si>
  <si>
    <t>Andrew Waterman Ph.D</t>
  </si>
  <si>
    <t>Waterman</t>
  </si>
  <si>
    <t>Co-Founder &amp; Chief Engineer</t>
  </si>
  <si>
    <t>SiFive</t>
  </si>
  <si>
    <t>andrew@sifive.com</t>
  </si>
  <si>
    <t>1875 South Grant Street</t>
  </si>
  <si>
    <t>94402</t>
  </si>
  <si>
    <t>Mr. Andrew Waterman is a Co-Founder and serves as Chief Engineer at SiFive.</t>
  </si>
  <si>
    <t>203470-57P</t>
  </si>
  <si>
    <t>Andy Horng</t>
  </si>
  <si>
    <t>Horng</t>
  </si>
  <si>
    <t>Andy</t>
  </si>
  <si>
    <t>Co-Founder &amp; Head of AI</t>
  </si>
  <si>
    <t>Cultivate (Business/Productivity Software)</t>
  </si>
  <si>
    <t>andy@cultivateai.com</t>
  </si>
  <si>
    <t>326 Ritch Street</t>
  </si>
  <si>
    <t>Mr. Andy Horng is a Co-Founder and serves as Head of AI at Cultivate. He has studied at University of California, Berkeley.</t>
  </si>
  <si>
    <t>71250-85P</t>
  </si>
  <si>
    <t>Andy Konwinski Ph.D</t>
  </si>
  <si>
    <t>Konwinski</t>
  </si>
  <si>
    <t>Co-Founder &amp; Vice President of Product Management</t>
  </si>
  <si>
    <t>andy@databricks.com</t>
  </si>
  <si>
    <t>Dr. Andy Konwinski is a Co-Founder and serves as Vice President of Product Management at Databricks. He leads the education team responsible for fostering relationships with professors, creating massive open online courses (MOOCS), developer certification and all other training related activities. He is a Founding Committer and PMC Member of Apache Spark. Previously, he oversaw the company's early marketing efforts including the creation of the Spark Summit conferences. Prior to Databricks, he was a PhD student and then Postdoc in Computer Science in the AMPLab at UC Berkeley where he was a creator of Apache Mesos and AMP Camp conference series.</t>
  </si>
  <si>
    <t>35396-20P</t>
  </si>
  <si>
    <t>Andy Su</t>
  </si>
  <si>
    <t>Su</t>
  </si>
  <si>
    <t>Pry Financials</t>
  </si>
  <si>
    <t>asu@pry.co</t>
  </si>
  <si>
    <t>260 King Street</t>
  </si>
  <si>
    <t>Suite 419</t>
  </si>
  <si>
    <t>Mr. Andy Su is a Co-Founder and serves as Chief Executive Officer at Pry Financials. Mr. Su co-founded and served as Chief Technology Officer at inDinero. He is a talented whizz kid who won state and national awards in math and science. He was Jessica's previous co-founder at their previous startup, InternshipIN.com. He graduated in 2010 from U.C. Berkeley with a Bachelor Of Computer Science.</t>
  </si>
  <si>
    <t>82642-24P</t>
  </si>
  <si>
    <t>Angela Chen</t>
  </si>
  <si>
    <t>Angela</t>
  </si>
  <si>
    <t>Co-Founder, Chief Executive Officer, President &amp; Ecologist and Product Architect</t>
  </si>
  <si>
    <t>ProductBio</t>
  </si>
  <si>
    <t>+1 (415) 598-8554</t>
  </si>
  <si>
    <t>angela@productbio.com</t>
  </si>
  <si>
    <t>Ms. Angela Chen is a Co-Founder and serves as Chief Executive Officer, President and Ecologist and Product Architect at ProductBio. She is a Cambridge and UC Berkeley-trained evolutionary ecologist. She is a certified Climate Reality Leadership Corps public speaker coached by former United States VP Al Gore.</t>
  </si>
  <si>
    <t>213430-24P</t>
  </si>
  <si>
    <t>Angelo Ferro</t>
  </si>
  <si>
    <t>Ferro</t>
  </si>
  <si>
    <t>Angelo</t>
  </si>
  <si>
    <t>Co-Founder &amp; Head of Business Development</t>
  </si>
  <si>
    <t>Baotris</t>
  </si>
  <si>
    <t>angelo@baotris.com</t>
  </si>
  <si>
    <t>4090 Coralle Lane</t>
  </si>
  <si>
    <t>Mr. Angelo Ferro is a Co-Founder and serves as Head of Business Development at Baotris.</t>
  </si>
  <si>
    <t>191468-98P</t>
  </si>
  <si>
    <t>Anhang Z</t>
  </si>
  <si>
    <t>Z</t>
  </si>
  <si>
    <t>Anhang</t>
  </si>
  <si>
    <t>Mayhem</t>
  </si>
  <si>
    <t>+1 (650) 308-8783</t>
  </si>
  <si>
    <t>anhang@visor.gg</t>
  </si>
  <si>
    <t>483 Bryant Street</t>
  </si>
  <si>
    <t>Unit 705</t>
  </si>
  <si>
    <t>Mr. Anhang Z is a Co-Founder and serves as Chief Technology Officer at Mayhem Interactive.</t>
  </si>
  <si>
    <t>187285-60P</t>
  </si>
  <si>
    <t>Anil Agarwal</t>
  </si>
  <si>
    <t>Agarwal</t>
  </si>
  <si>
    <t>EdifyOnline</t>
  </si>
  <si>
    <t>apa@edifyonline.us</t>
  </si>
  <si>
    <t>Birmingham, AL</t>
  </si>
  <si>
    <t>2544 Woodfern Circle</t>
  </si>
  <si>
    <t>Birmingham</t>
  </si>
  <si>
    <t>Alabama</t>
  </si>
  <si>
    <t>35244</t>
  </si>
  <si>
    <t>Mr. Anil Agarwal is a Co-Founder and serves as Chief Executive Officer &amp; Board Member at EdifyOnline. An engineering graduate from University of California, Berkeley, and an MBA in management from University of Golden Gate, San Francisco, Mr. Agarwal, has over 30 years of experience in business strategic planning &amp; implementation, managing design &amp; manufacturing operations, marketing &amp; global supply change, and in restructuring inefficient operations. After managing several operations in USA and overseas, he strongly believes the change is inevitable and the true solutions always come from innovations in our mental thought processes, methodologies, operational processes and technologies.</t>
  </si>
  <si>
    <t>122099-86P</t>
  </si>
  <si>
    <t>Anil Gupta Ph.D</t>
  </si>
  <si>
    <t>Gupta</t>
  </si>
  <si>
    <t>SmartBuildings</t>
  </si>
  <si>
    <t>+91 (0)99 0025 0421</t>
  </si>
  <si>
    <t>anil.gupta@urjagreen.com</t>
  </si>
  <si>
    <t>Unit 051, Bearys Lakeside Habitat Survey Number 18</t>
  </si>
  <si>
    <t>Off Kodigehalli Village</t>
  </si>
  <si>
    <t>Karnataka</t>
  </si>
  <si>
    <t>560092</t>
  </si>
  <si>
    <t>Dr. Anil Gupta is the Co-Founder of SmartBuildings, where he serves as Chief Executive Officer and Board Member. Dr. Gupta is a technology industry veteran. His passion in energy dates back to 1980s when he worked on energy conservation programs for California Energy Commission, Sacramento. He subsequently worked in AT&amp;T Bell Laboratories in New Jersey and Sun Microsystems in Palo Alto. His more recent roles were VP and Site Leader of Sun India Engineering Center, Bangalore and COO of Aditi Technologies. Most recently, he was EVP and Head of Business Operations for Patni Computers. Dr. Gupta has a B.Tech from IIT Delhi, an MS from the University of Delaware, and a Ph.D. from University of California, Berkeley.</t>
  </si>
  <si>
    <t>97884-37P</t>
  </si>
  <si>
    <t>Anil Jwalanna</t>
  </si>
  <si>
    <t>Jwalanna</t>
  </si>
  <si>
    <t>WittyParrot</t>
  </si>
  <si>
    <t>+1 (408) 744-2277</t>
  </si>
  <si>
    <t>anil@wittyparrot.com</t>
  </si>
  <si>
    <t>4300 Stevens Creek Boulevard</t>
  </si>
  <si>
    <t>Suite 135</t>
  </si>
  <si>
    <t>95129</t>
  </si>
  <si>
    <t>Mr. Anil Jwalanna is a Co-Founder and serves as Chief Executive Officer at WittyParrot. He has built and managed SaaS and technology product platforms at start-ups and large enterprises for over 15 years. He previously served as CEO of PushPoint Mobile as well as CTO of iCharts, both mobile commerce and data visualization SaaS companies. In his past executive roles at Allianz Insurance and ACC Capital Holdings, he led Enterprise Architecture teams in IT strategy big data analytics.</t>
  </si>
  <si>
    <t>234442-54P</t>
  </si>
  <si>
    <t>Aniruddha Pant Ph.D</t>
  </si>
  <si>
    <t>Pant</t>
  </si>
  <si>
    <t>Aniruddha</t>
  </si>
  <si>
    <t>Co-Founder, Chief Data Scientist &amp; Board Member</t>
  </si>
  <si>
    <t>DeepTek</t>
  </si>
  <si>
    <t>+91 (0)72 7606 0080</t>
  </si>
  <si>
    <t>apant@deeptek.ai</t>
  </si>
  <si>
    <t>Pune, India</t>
  </si>
  <si>
    <t>2nd Floor, Alacrity Innovation Centre, Behind Vijay Sales</t>
  </si>
  <si>
    <t>Pallod Farms 3, Baner Road</t>
  </si>
  <si>
    <t>Pune</t>
  </si>
  <si>
    <t>411045</t>
  </si>
  <si>
    <t>Mr. Aniruddha Pant is a Co-Founder and serves as Chief Data Scientist and Board Member at DeepTek. With a Ph.D. from the University of California at Berkeley, Aniruddha Pant is a data science expert and has considerable experience in leveraging deep learning for medical image processing. Aniruddha is an alumnus of the College of Engineering, Pune.</t>
  </si>
  <si>
    <t>181973-08P</t>
  </si>
  <si>
    <t>Anita Anantharam Ph.D</t>
  </si>
  <si>
    <t>Anantharam</t>
  </si>
  <si>
    <t>Anita</t>
  </si>
  <si>
    <t>Founder, Board Member &amp; Chief Executive Officer</t>
  </si>
  <si>
    <t>Spect</t>
  </si>
  <si>
    <t>+1 (609) 349-4525</t>
  </si>
  <si>
    <t>anita@leaderlync.com</t>
  </si>
  <si>
    <t>Gainesville, FL</t>
  </si>
  <si>
    <t>625 West University Avenue</t>
  </si>
  <si>
    <t>Gainesville</t>
  </si>
  <si>
    <t>32601</t>
  </si>
  <si>
    <t>Dr. Anita Anantharam is the Founder and serves as Board Member &amp; Chief Executive Officer at Spect.</t>
  </si>
  <si>
    <t>248661-46P</t>
  </si>
  <si>
    <t>Anna Colibri</t>
  </si>
  <si>
    <t>Colibri</t>
  </si>
  <si>
    <t>Anna</t>
  </si>
  <si>
    <t>Colibri Digital Marketing</t>
  </si>
  <si>
    <t>+1 (415) 900-4788</t>
  </si>
  <si>
    <t>anna@colibridigitalmarketing.com</t>
  </si>
  <si>
    <t>1931 Buchanan Street</t>
  </si>
  <si>
    <t>Ms. Anna Colibri is the Founder and serves as Chief Executive Officer at Colibri Digital Marketing. She has a Masters Degree in Social Welfare from UC Berkeley. Before building her own business, Anna worked in the world of nonprofits, professional societies, and foundations, primarily in the areas of development and marketing. An unwavering belief in business for good led Anna to support Colibri Digital Marketing through the rigorous process of becoming San Francisco's first and only full-service, B Corporation-certified digital marketing agency.</t>
  </si>
  <si>
    <t>204240-34P</t>
  </si>
  <si>
    <t>Anthony Lewis</t>
  </si>
  <si>
    <t>Lewis</t>
  </si>
  <si>
    <t>Aumni</t>
  </si>
  <si>
    <t>alewis@aumni.fund</t>
  </si>
  <si>
    <t>One Sansome Street</t>
  </si>
  <si>
    <t>35th Floor</t>
  </si>
  <si>
    <t>Mr. Anthony Lewis is a Co-Founder and serves as Chief Executive Officer at Aumni.</t>
  </si>
  <si>
    <t>52971-67P</t>
  </si>
  <si>
    <t>Anthony Stratakos Ph.D</t>
  </si>
  <si>
    <t>Stratakos</t>
  </si>
  <si>
    <t>Element Energy</t>
  </si>
  <si>
    <t>stratakos@elementenergy.com</t>
  </si>
  <si>
    <t>1808 Wedemeyer Street</t>
  </si>
  <si>
    <t>Suite 328</t>
  </si>
  <si>
    <t>Dr. Anthony Stratakos is a Co-Founder and serves as the Chief Executive Officer and Board Member at Element Energy. Dr. Stratakos served as the Vice President, Research &amp; Development &amp; Chief Technology Officer at Maxim Integrated Products. He became Vice President of Advanced R&amp;D in 2013. He was previously CTO and Senior Vice President of Advanced R&amp;D at Volterra Semiconductor, a power management semiconductor company that Tony co-founded in 1996, and that Maxim acquired in 2013. He has 28 issued patents.</t>
  </si>
  <si>
    <t>123567-04P</t>
  </si>
  <si>
    <t>Anthony Sutardja</t>
  </si>
  <si>
    <t>Sutardja</t>
  </si>
  <si>
    <t>Parade</t>
  </si>
  <si>
    <t>+1 (855) 534-3729</t>
  </si>
  <si>
    <t>anthony@parade.ai</t>
  </si>
  <si>
    <t>P.O. Box 5237</t>
  </si>
  <si>
    <t>Mr. Anthony Sutardja is a Co-Founder of Parade and serves as its Chief Executive Officer and Board Member. He formerly held positions at Uber and Yelp. He holds an ME and BS in Electrical Engineering and Computer Science from the University of California, Berkeley.</t>
  </si>
  <si>
    <t>208465-66P</t>
  </si>
  <si>
    <t>Anthony Tayoun</t>
  </si>
  <si>
    <t>Tayoun</t>
  </si>
  <si>
    <t>Co-Founder, Chief Operating Officer, Chief Financial Officer and Board Member</t>
  </si>
  <si>
    <t>Dexai Robotics</t>
  </si>
  <si>
    <t>+1 (857) 234-8795</t>
  </si>
  <si>
    <t>anthony@dexai.com</t>
  </si>
  <si>
    <t>Somerville, MA</t>
  </si>
  <si>
    <t>444 Somerville Avenue</t>
  </si>
  <si>
    <t>Somerville</t>
  </si>
  <si>
    <t>02143</t>
  </si>
  <si>
    <t>Mr. Anthony Tayoun is a Co-Founder and serves as Chief Operating Officer, Chief Financial Officer and Board Member at Dexai Robotics. Prior to Dexai, he worked as a consultant with the Boston Consulting Group, focusing on growth strategies. Mr. Tayoun holds a MBA from Harvard Business School and a B.E. in Mechanical Engineering and a B.S. in Mathematics from the American University of Beirut.</t>
  </si>
  <si>
    <t>235370-08P</t>
  </si>
  <si>
    <t>Antonio Vitti</t>
  </si>
  <si>
    <t>Vitti</t>
  </si>
  <si>
    <t>Antonio</t>
  </si>
  <si>
    <t>Pontoro</t>
  </si>
  <si>
    <t>+1 (415) 710-9111</t>
  </si>
  <si>
    <t>antonio.vitti@pontoro.com</t>
  </si>
  <si>
    <t>650 Castro Street</t>
  </si>
  <si>
    <t>Suite 120-230</t>
  </si>
  <si>
    <t>Mr. Antonio Vitti is a Co-Founder &amp; serves as Chief Executive Officer &amp; Board Member at Pontoro. Previously, Antonio Vitti was the co-founder and CEO of Merchant Atlas. Before that, he was the Hong Kong-based Director, Business Development for Franklin Templeton's emerging market private equity subsidiary with responsibilities for fundraising from institutional investors in the Asia Pacific region. Before Franklin Templeton, Antonio worked in BlackRock's San Francisco private equity commercial real estate group developing greenfield commercial and residential real estate projects in the US Western Region. Before then, he worked at Lehman Brothers in San Francisco as a sell-side equity research analyst covering financial service sector stocks. Earlier he worked in Lehman's New York City office managing capital markets and counterparty trading risks for fixed income and equity derivative products. Antonio started his career at Brown Brothers Harriman &amp; Co. in New York. He received his MBA from the University of California at Berkeley and his undergraduate degree from Villanova University. Antonio is a mentor to students and alumni at UC Berkeley's SkyDeck technology start-up incubator.</t>
  </si>
  <si>
    <t>68178-07P</t>
  </si>
  <si>
    <t>Anu Sridharan</t>
  </si>
  <si>
    <t>Sridharan</t>
  </si>
  <si>
    <t>Anu</t>
  </si>
  <si>
    <t>Co-Founder, Board Member and Chief Executive Officer</t>
  </si>
  <si>
    <t>NextDrop Technologies</t>
  </si>
  <si>
    <t>anu@nextdrop.co</t>
  </si>
  <si>
    <t>Bengaluru, India</t>
  </si>
  <si>
    <t>91springboard, Number 22, 4th Floor</t>
  </si>
  <si>
    <t>Salarpuria Towers 1 Industrial Layout, Hosur Road, Koramangala</t>
  </si>
  <si>
    <t>Bengaluru</t>
  </si>
  <si>
    <t>560095</t>
  </si>
  <si>
    <t>Anu Sridharan is a Co-Founder of NextDrop Technologies and serves as its Board Member and Chief Executive Officer. She was recently selected to the Forbes "30 Social Entrepreneurs Under 30" list for her work with NextDrop Inc. Anu holds a Master's from the Civil and Environmental Engineering program at the University of California, Berkeley where her research focused on the optimization of piped networked systems in developing economies. Prior to this, Anu completed her Bachelor's degree in civil engineering from the University of California, Berkeley. Anu also served as the Education and Health director for a water/sanitation project in the slums of Mumbai, India called "Haath Mein Sehat" where she piloted successful volunteer recruitment and community training model.</t>
  </si>
  <si>
    <t>104525-47P</t>
  </si>
  <si>
    <t>Aparna Dhinakaran</t>
  </si>
  <si>
    <t>Dhinakaran</t>
  </si>
  <si>
    <t>Aparna</t>
  </si>
  <si>
    <t>Arize AI</t>
  </si>
  <si>
    <t>+1 (415) 836-2540</t>
  </si>
  <si>
    <t>adhinakaran@arize.com</t>
  </si>
  <si>
    <t>740 Edgewood Avenue</t>
  </si>
  <si>
    <t>Ms. Aparna Dhinakaran is a Co-Founder of Arize AI and serves as its Chief Product Officer. She served as Chief Executive Officer at Monitor ML. She co-founded Software Engineer of Improving Outcomes. She is looking after engineering architecture, product implementation and design for the company.</t>
  </si>
  <si>
    <t>145366-03P</t>
  </si>
  <si>
    <t>Aparna Pande</t>
  </si>
  <si>
    <t>Pande</t>
  </si>
  <si>
    <t>Kidstir</t>
  </si>
  <si>
    <t>aparna@kidstir.com</t>
  </si>
  <si>
    <t>1933 Westridge Terrace</t>
  </si>
  <si>
    <t>90049</t>
  </si>
  <si>
    <t>Ms. Aparna Pande is Founder &amp; serves as Chief Executive Officer at Kidstir. She previously held leadership roles at Mattel Inc., Disney and the publisher Meredith (FamilyFun and Parents Magazines), created Kidstir not only to ensure kids are healthy eaters, but also to nourish their relationships with food.</t>
  </si>
  <si>
    <t>202638-88P</t>
  </si>
  <si>
    <t>Apoorva Dornadula</t>
  </si>
  <si>
    <t>Dornadula</t>
  </si>
  <si>
    <t>Apoorva</t>
  </si>
  <si>
    <t>Viralspace</t>
  </si>
  <si>
    <t>+1 (650) 799-4092</t>
  </si>
  <si>
    <t>apoorva@viralspace.ai</t>
  </si>
  <si>
    <t>562 Kendall Avenue 13</t>
  </si>
  <si>
    <t>Ms. Apoorva Dornadula is a Co-Founder at Viralspace and serves as Chief Technology Officer and Board Member. Ms. Dornadula worked at Google, Microsoft, and Intuit, where she developed strong AI/ML skills. She spent the last two years as a computer vision researcher at Stanford's Computer Vision Lab. Apoorva holds an MS in Computer Science from Stanford and EECS from Berkeley.</t>
  </si>
  <si>
    <t>49216-87P</t>
  </si>
  <si>
    <t>Ara Anjargolian</t>
  </si>
  <si>
    <t>Anjargolian</t>
  </si>
  <si>
    <t>Ara</t>
  </si>
  <si>
    <t>YCharts</t>
  </si>
  <si>
    <t>+1 (866) 965-7552</t>
  </si>
  <si>
    <t>ara@ycharts.com</t>
  </si>
  <si>
    <t>414 North Orleans Street</t>
  </si>
  <si>
    <t>Mr. Anjargolian is a Co-Founder and serves as Chief Technology Officer at YCharts. He has over 10 years of large scale programming experience. Prior to founding YCharts, Ara led development for Tribune where he developed large scale real-estate solutions. He is also the owner and lead developer of Jargol.</t>
  </si>
  <si>
    <t>79895-17P</t>
  </si>
  <si>
    <t>Arcady Sosinov</t>
  </si>
  <si>
    <t>Sosinov</t>
  </si>
  <si>
    <t>Arcady</t>
  </si>
  <si>
    <t>FreeWire Technologies</t>
  </si>
  <si>
    <t>+1 (617) 827-5719</t>
  </si>
  <si>
    <t>arcady@freewiretech.com</t>
  </si>
  <si>
    <t>San Leandro, CA</t>
  </si>
  <si>
    <t>1933 Davis Street</t>
  </si>
  <si>
    <t>Suite 301A</t>
  </si>
  <si>
    <t>San Leandro</t>
  </si>
  <si>
    <t>94577</t>
  </si>
  <si>
    <t>Mr. Arcady Sosinov is a Co-Founder and serves as Chief Executive Officer, President and Board Member at FreeWire Technologies. He has led the company from ideation, formation, incubation, and now customer acquisition and revenue growth. Prior to FreeWire Technologies, he spent seven years in the finance industry, most recently with a $130B investment management firm called GMO. His responsibilities included quantitative analysis and application development, with a focus on emerging markets. He holds two bachelor's degrees from Boston University, as well as an MBA from UC Berkeley's Haas School of Business.</t>
  </si>
  <si>
    <t>186554-89P</t>
  </si>
  <si>
    <t>Ariel Kleiner Ph.D</t>
  </si>
  <si>
    <t>Kleiner</t>
  </si>
  <si>
    <t>Ariel</t>
  </si>
  <si>
    <t>Co-Founder &amp; Advisor</t>
  </si>
  <si>
    <t>Idiomatic</t>
  </si>
  <si>
    <t>akleiner@idiomatic.io</t>
  </si>
  <si>
    <t>911 Elsinore Drive</t>
  </si>
  <si>
    <t>Dr. Ariel Kleiner is a Co-Founder of Idiomatic and serves as Advisor at Idiomatic. Previously, he served as Chief Technology Officer at Idiomatic. He holds AB in Physics from Harvard, PhD in Computer Science (Machine Learning) from UC Berkeley.</t>
  </si>
  <si>
    <t>203206-15P</t>
  </si>
  <si>
    <t>Ariel Schwartz Ph.D</t>
  </si>
  <si>
    <t>Schwartz</t>
  </si>
  <si>
    <t>Denovium</t>
  </si>
  <si>
    <t>aschwartz@denovium.com</t>
  </si>
  <si>
    <t>11646 Candy Rose Way</t>
  </si>
  <si>
    <t>92131</t>
  </si>
  <si>
    <t>Mr. Ariel Schwartz is a Co-Founder of Denovium, where he serves as Chief Technology Officer. He has over 20 years of professional experience in Data Science, Computational Biology and Machine Learning. He has previously worked as an IDF intelligence officer and later as an Information Systems Engineer at Intel Corp., where he developed decision support systems for project and resource management. Mr. Schwartz had joined Synthetic Genomics Inc. (SGI) in 2008, where he spent ten years leading the adoption of the then emerging Next Generation Sequencing technologies, helping to advance large research projects using integrated genomics approaches with diverse application, including algal biofuels, microbial solutions for agriculture, organ xenotransplantation, phage engineering and more. In his role as the Director of Computational Biology, he recruited, developed and managed a highly skilled group of Ph.D. level computational biology scientists, promoting a culture of innovation, engagement, collaboration, integrity and respect. He earned his B.Sc. in Information Systems Engineering (Summa Cum Laude) from the Technion, Israel Institute of Technology and his Ph.D. in Computer Science from the University of California, Berkeley.</t>
  </si>
  <si>
    <t>210439-81P</t>
  </si>
  <si>
    <t>Arjun Gupta</t>
  </si>
  <si>
    <t>Smart Joules</t>
  </si>
  <si>
    <t>+91 (0)11 4350 2232</t>
  </si>
  <si>
    <t>arjunpgupta@smartjoules.in</t>
  </si>
  <si>
    <t>B-98, Lower Ground Floor</t>
  </si>
  <si>
    <t>Defence Colony</t>
  </si>
  <si>
    <t>National Capital Region</t>
  </si>
  <si>
    <t>110024</t>
  </si>
  <si>
    <t>Mr. Arjun Gupta is a Co-Founder of Smart Joules and serves as its Chief Executive Officer. He started Smart Joules in 2014 to drive substantial energy efficiency improvements across India's businesses and factories, based on the belief that science is the quickest, cheapest way to tackle energy inequity and climate change. Prior to starting Smart Joules, Arjun had been involved in the development and execution of various projects related to energy efficiency, waste utilization and renewable energy at Jaypee Group- one of India's largest industrial conglomerates. Prior to this, he has worked with Harvest Power, Lawrence Berkeley National Laboratory, World Resources Institute and Carbon War Room. Arjun holds a master degree from the Massachusetts Institute of Technology and graduated from the University of California-Berkeley with highest honours in B.S. Civil Engineering and distinction in B.A. Economics.</t>
  </si>
  <si>
    <t>102561-04P</t>
  </si>
  <si>
    <t>Arlo Faria</t>
  </si>
  <si>
    <t>Faria</t>
  </si>
  <si>
    <t>Arlo</t>
  </si>
  <si>
    <t>ReMeeting</t>
  </si>
  <si>
    <t>arlo@remeeting.com</t>
  </si>
  <si>
    <t>Suite 330</t>
  </si>
  <si>
    <t>Mr. Arlo Faria is a Co-Founder and also serves as Chief Executive Officer of ReMeeting. Previously, he was the Founder of Mod9 Technologies, Researcher at the International Computer Science Institute, Senior Software Engineer at TheFind, Co-Founder at Modista, and a Visiting Researcher at Centre for Speech Technology Research. Mr. Faria received his Bachelor's of Science in Electrical Engineering &amp; Computer Science and his Ph.D. in Computer Science from University of Califronia, Berkley.</t>
  </si>
  <si>
    <t>221693-05P</t>
  </si>
  <si>
    <t>Armand Alvarez</t>
  </si>
  <si>
    <t>Alvarez</t>
  </si>
  <si>
    <t>Armand</t>
  </si>
  <si>
    <t>Founder, Chief Executive Officer and President</t>
  </si>
  <si>
    <t>Exigis</t>
  </si>
  <si>
    <t>aalvarez@exigis.com</t>
  </si>
  <si>
    <t>12 East 46th Street, 6E</t>
  </si>
  <si>
    <t>Mr. Armand Alvarez is the Founder and serves as Chief Executive Officer and President at Exigis. Armand is a leading innovator and recognized expert on business process automation technology for risk management, insurance, and trade finance. He founded Exigis in 2002 and became President and CEO in 2004. Under his leadership, Exigis has grown to become a leading provider of software and services and the Vendor of choice for risk managers and treasurers. Prior to joining Exigis, Armand spent over a decade with Marsh USA, Inc. most recently as a Senior Vice President. During his tenure, Armand founded the Business Process Consulting practice for Marsh USA, Inc. and served in a leadership capacity for several of Marsh's divisions; including Risk Consulting, Client Advisory, and Information Technology practices. Armand led efforts to successfully expand the scope of Marsh's relationships with strategic customers such as Dow Corning, General Electric, Tyco, IBM, and American Standard. Prior to Marsh USA, Inc., Armand held the position of Vice President at Wells Fargo's Commercial Banking Division. In the ten years he worked for the bank, he was a driving force behind much of their product innovation including their Internet Banking products. Armand has a Bachelor's Degree in Legal Studies from the University of California at Berkeley.</t>
  </si>
  <si>
    <t>143603-74P</t>
  </si>
  <si>
    <t>Arshdeep Mand</t>
  </si>
  <si>
    <t>Mand</t>
  </si>
  <si>
    <t>Arshdeep</t>
  </si>
  <si>
    <t>WorkRamp</t>
  </si>
  <si>
    <t>+1 (888) 336-8797</t>
  </si>
  <si>
    <t>arsh@workramp.com</t>
  </si>
  <si>
    <t>751 Laurel Street</t>
  </si>
  <si>
    <t>Suite 854</t>
  </si>
  <si>
    <t>Mr. Arshdeep Mand is a Co-Founder of WorkRamp. He holds BS (Bachelor of Science) in Computer Science and Electrical Engineering from University of California, Berkeley.</t>
  </si>
  <si>
    <t>103942-81P</t>
  </si>
  <si>
    <t>Arthur Querou</t>
  </si>
  <si>
    <t>Querou</t>
  </si>
  <si>
    <t>Arthur</t>
  </si>
  <si>
    <t>KMTX</t>
  </si>
  <si>
    <t>arthur@keymantics.com</t>
  </si>
  <si>
    <t>13 rue de Tournon</t>
  </si>
  <si>
    <t>75006</t>
  </si>
  <si>
    <t>Mr. Arthur Querou is a Co-Founder and serves as Chief Executive Officer at KMTX. He co-founded and served as Chief Executive Officer at MotionLead. He served as the Chief Mobile Officer at Adikteev. Previously, he was the Co-Founder &amp; Chief Executive Officer at Appinest. Mr. Querou received his Degree in Computer Engineering from EPITA.</t>
  </si>
  <si>
    <t>143558-83P</t>
  </si>
  <si>
    <t>Arup Roy-Burman MD</t>
  </si>
  <si>
    <t>Roy-Burman</t>
  </si>
  <si>
    <t>Arup</t>
  </si>
  <si>
    <t>Elemeno Health</t>
  </si>
  <si>
    <t>+1 (510) 350-0880</t>
  </si>
  <si>
    <t>arup@elemenohealth.com</t>
  </si>
  <si>
    <t>2910 Ford Street</t>
  </si>
  <si>
    <t>94601</t>
  </si>
  <si>
    <t>Dr. Arup Roy-Burman is a Co-Founder and serves as Chief Executive Officer and Board Member at Elemeno Health. Prior to founding Elemeno Health, Dr. Roy-Burman was Medical Director of the Pediatric Intensive Care Unit and Director of Transport, Access and Outreach for UCSF Benioff Children's Hospital. He is an institutional leader in efforts to elevate healthcare delivery in the inpatient setting, with focus on inter-professional workforce engagement and standardization of best practices.</t>
  </si>
  <si>
    <t>168924-97P</t>
  </si>
  <si>
    <t>Arvin Vohra</t>
  </si>
  <si>
    <t>Vohra</t>
  </si>
  <si>
    <t>Arvin</t>
  </si>
  <si>
    <t>Co-Founder,Co-Chief Executive Officer &amp; Board Member</t>
  </si>
  <si>
    <t>Redaptive</t>
  </si>
  <si>
    <t>+1 (415) 413-0445</t>
  </si>
  <si>
    <t>arvin.vohra@redaptiveinc.com</t>
  </si>
  <si>
    <t>340 Brannan Street</t>
  </si>
  <si>
    <t>Mr. Arvin Vohra is a Co-Founder and serves as Co-Chief Executive Officer &amp; Board Member at Redaptive. He has a BA degree in Statistics and Economics from University of California, Berkeley. Prior to Redaptive, Arvin was at Enlighted as thier VP of Project Finance where he created and ran its Lighting as a Service (GEO) platform, which now spans across multiple Fortune 500 companies and millions of square feet installed. Prior to joining Enlighted, Arvin spent five years at Barclays Capital on thier Power and Utilities Team.</t>
  </si>
  <si>
    <t>124606-81P</t>
  </si>
  <si>
    <t>Aryk Grosz</t>
  </si>
  <si>
    <t>Grosz</t>
  </si>
  <si>
    <t>Aryk</t>
  </si>
  <si>
    <t>aryk@mixbook.com</t>
  </si>
  <si>
    <t>409 Sherman Avenue</t>
  </si>
  <si>
    <t>Mr. Aryk Grosz is a Co-Founder and serves as Board Member at Mixbook.</t>
  </si>
  <si>
    <t>200846-35P</t>
  </si>
  <si>
    <t>Asaf Antonir</t>
  </si>
  <si>
    <t>Antonir</t>
  </si>
  <si>
    <t>Asaf</t>
  </si>
  <si>
    <t>Onyx</t>
  </si>
  <si>
    <t>asaf@onyx.fit</t>
  </si>
  <si>
    <t>44 Montgomery Street</t>
  </si>
  <si>
    <t>Mr. Asaf Antonir is a Co-Founder &amp; serves as Chief Executive Officer at Onyx. He served as Director at Cal Hacks. He worked as a Software Development Engineer Intern at Microsoft and Software Engineering Intern at LinkedIn. He holds a degree in Electrical Engineering and Computer Science from University of California, Berkeley</t>
  </si>
  <si>
    <t>226045-99P</t>
  </si>
  <si>
    <t>Ash Massoudi</t>
  </si>
  <si>
    <t>Massoudi</t>
  </si>
  <si>
    <t>Ash</t>
  </si>
  <si>
    <t>NextAxiom</t>
  </si>
  <si>
    <t>+1 (415) 373-1890</t>
  </si>
  <si>
    <t>amassoudi@nextaxiom.com</t>
  </si>
  <si>
    <t>Suite 2720</t>
  </si>
  <si>
    <t>+1 (415) 373-1899</t>
  </si>
  <si>
    <t>Mr. Ash Massoudi is a Co-Founder and serves as Chief Executive Officer at NextAxiom. Ash is a proven entrepreneur and a software inventor with the vision to incrementally unify all information technology assets unleashing a new wave of business automation. Ash founded NextAxiom® Technology in May 2000 and led the creation of a patented software platform that significantly eases new software development on top of existing application functionality. He played the pivotal role in successfully propelling NextAxiom® through the concept, R&amp;D production, and customer acquisition stages into its current expansion phase. Before co-founding NextAxiom®, as Director of Integration Technologies at PeopleSoft, Ash was responsible for delivering PeopleSoft's complete suite of integration technologies, including PeopleSoft's business components and near real-time application messaging solutions, which was deployed at over 4000 customers worldwide. Ash also managed the assimilation of Advance Supply Chain Planning products within the PeopleSoft technology platform as a result of PeopleSoft's $275 Million dollar acquisition of Red Pepper Software. Ash holds a B.A. in Computer Science from the University of California at Berkeley and has been awarded the following ten U.S. Patents: Patent No. 7,483,901 B1; 7,581,205 B1; 7,533,387 B1; 7,584,454 B1; 8,225,282 B1; 8,458,660 B1; 8,621,428 B2; 9,178,785 B1; 9,588,743 B2
Pending-Patent No. 62/676,197.</t>
  </si>
  <si>
    <t>134703-82P</t>
  </si>
  <si>
    <t>Asha Visweswaran</t>
  </si>
  <si>
    <t>Visweswaran</t>
  </si>
  <si>
    <t>Asha</t>
  </si>
  <si>
    <t>Swing Education</t>
  </si>
  <si>
    <t>avisweswaran@swingeducation.com</t>
  </si>
  <si>
    <t>Ms. Visweswaran is a Co-Founder and serves as the Chief Operating Officer at Swing Education. She was previously a Senior Manager at Deloitte. While there, she led globally based teams in solving complex technical and strategic problems for Fortune 50 companies.</t>
  </si>
  <si>
    <t>64393-75P</t>
  </si>
  <si>
    <t>Ashok Lahiri</t>
  </si>
  <si>
    <t>Lahiri</t>
  </si>
  <si>
    <t>Ashok</t>
  </si>
  <si>
    <t>Enovix</t>
  </si>
  <si>
    <t>alahiri@enovix.com</t>
  </si>
  <si>
    <t>3501 West Warren Avenue</t>
  </si>
  <si>
    <t>Mr. Lahiri is a Co-Founder and serves as a Chief Technology Officer at Enovix. He has 25 years of experience in technology development and process expertise in 3D architectures having been the Senior Director of Engineering at FormFactor and a Senior Engineering Manager at IBM. At Formfactor he took complex 3 dimensional electromechanical devices yielding near zero percent and drove yields to well above 90%, while scaling them to large arrays capable of massively parallel large area probing, an industry first. This resulted in dramatic reductions in manufacturing cost, increased gross margins, and a significant customer value proposition advantage over the competition. In addition Mr. Lahiri brings deep electrochemical systems knowledge from his work experience and educational background at UC Berkeley and has authored or coauthored 10 patents on battery technology and 3 dimensional architectures.</t>
  </si>
  <si>
    <t>129372-13P</t>
  </si>
  <si>
    <t>Ashwin Seshia Ph.D</t>
  </si>
  <si>
    <t>Seshia</t>
  </si>
  <si>
    <t>Ashwin</t>
  </si>
  <si>
    <t>Co-Founder, Chief Scientific Officer &amp; Board Member</t>
  </si>
  <si>
    <t>Silicon Microgravity</t>
  </si>
  <si>
    <t>+44 (0)12 2360 8830</t>
  </si>
  <si>
    <t>ashwin@silicong.com</t>
  </si>
  <si>
    <t>G3, Blenheim House</t>
  </si>
  <si>
    <t>Cambridge Innovation Park, Waterbeach</t>
  </si>
  <si>
    <t>CB25 9GL</t>
  </si>
  <si>
    <t>Dr. Ashwin Seshia is a Co-Founder, Chief Scientific Officer &amp; Board Member at Silicon Microgravity. The company was formed to commercialise the academic work pioneered by Ashwin. He received his BTech in Engineering Physics in 1996 from IIT Bombay, MS and PhD degrees in Electrical Engineering and Computer Sciences from the University of California, Berkeley in 1999 and 2002 respectively, and the MA from the University of Cambridge in 2008. During his time at the University of California, Berkeley, he was affiliated with the Berkeley Sensor &amp; Actuator Center. He joined the faculty of the Engineering Department at the University of Cambridge in October 2002 where he is presently a Reader in Microsystems Technology and a Fellow of Queens' College. He is a Fellow of the Institute of Physics, a Fellow of the Institution for Engineering and Technology and a senior member of the Institute of Electrical and Electronics Engineers. His research interests are in the domain of micro-engineered dynamical systems with applications to sensors and sensor systems.</t>
  </si>
  <si>
    <t>144771-94P</t>
  </si>
  <si>
    <t>8Power</t>
  </si>
  <si>
    <t>+44 (0)12 2378 1610</t>
  </si>
  <si>
    <t>Future Business Centre</t>
  </si>
  <si>
    <t>Kings Hedges Road</t>
  </si>
  <si>
    <t>CB4 2HY</t>
  </si>
  <si>
    <t>Dr. Ashwin Seshia is a Co-Founder of 8Power. He is Professor of Microsystems Technology at the University of Cambridge. He is also Chief Scientific Officer and co-founder of Silicon Microgravity. Ashwin has led the research behind 8power for over a decade, combining interests in microsystem design and micro electro mechanical systems (MEMS), sensors and sensory processing, resonant mechanical devices and acoustics. He is a graduate of the Indian Institute of Technology in Bombay and received his M.S. and Ph.D. degrees from the University of California, Berkeley.</t>
  </si>
  <si>
    <t>207453-97P</t>
  </si>
  <si>
    <t>Ashwinee Panda</t>
  </si>
  <si>
    <t>Panda</t>
  </si>
  <si>
    <t>Ashwinee</t>
  </si>
  <si>
    <t>DiscreetAI</t>
  </si>
  <si>
    <t>+1 (408) 421-1459</t>
  </si>
  <si>
    <t>panda@discreetai.com</t>
  </si>
  <si>
    <t>2 Embarcadero Center</t>
  </si>
  <si>
    <t>Mr. Ashwinee Panda is a Co-Founder and serves as Chief Executive Officer at DiscreetAI. He has an MS and BS in EECS from UC Berkeley.</t>
  </si>
  <si>
    <t>179818-21P</t>
  </si>
  <si>
    <t>Athulan Vijayaraghavan Ph.D</t>
  </si>
  <si>
    <t>Vijayaraghavan</t>
  </si>
  <si>
    <t>Athulan</t>
  </si>
  <si>
    <t>Co-Founder, Board Member, Chief Operating Officer &amp; Chief Technology Officer</t>
  </si>
  <si>
    <t>Vimana ( Automation/Workflow Software)</t>
  </si>
  <si>
    <t>athulan.vijayaraghavan@govimana.com</t>
  </si>
  <si>
    <t>Cork, Ireland</t>
  </si>
  <si>
    <t>Unit 3D North Point House</t>
  </si>
  <si>
    <t>North Point Business Park, New Mallow Road</t>
  </si>
  <si>
    <t>Cork</t>
  </si>
  <si>
    <t>T23 AT2P</t>
  </si>
  <si>
    <t>Ireland</t>
  </si>
  <si>
    <t>Dr. Athulan Vijayaraghavan is a Co-Founder and serves as Chief Operating Officer, Chief Technology Officer and Board Member at Vimana. Originally from Chennai, India, Athulan developed a passion for manufacturing at an early age. He earned his Ph.D. in Mechanical Engineering from the University of California, Berkeley. While at Berkeley, he was a developer of the MTConnect standard, and built and deployed the first suite of MTConnect-enabled applications in research and industrial environments. After meeting Will, the two of them hit it off and built VIMANA into what it is today: the most powerful predictive analytics platform for smart manufacturing.</t>
  </si>
  <si>
    <t>123704-02P</t>
  </si>
  <si>
    <t>Atsushi Nakanishi</t>
  </si>
  <si>
    <t>Nakanishi</t>
  </si>
  <si>
    <t>Atsushi</t>
  </si>
  <si>
    <t>Triple W</t>
  </si>
  <si>
    <t>+81 (0)35 459 1295</t>
  </si>
  <si>
    <t>3rd floor, Toho Twin Tower Building</t>
  </si>
  <si>
    <t>1-5-2 Yurakucho, Chiyoda-ku</t>
  </si>
  <si>
    <t>100-0006</t>
  </si>
  <si>
    <t>Mr. Atsushi Nakanishi is the Founder and serves as Chief Executive Officer at Triple W.</t>
  </si>
  <si>
    <t>86364-28P</t>
  </si>
  <si>
    <t>Augustin Marty</t>
  </si>
  <si>
    <t>Marty</t>
  </si>
  <si>
    <t>Augustin</t>
  </si>
  <si>
    <t>Deepomatic</t>
  </si>
  <si>
    <t>+33 (0)9 83 21 21 21</t>
  </si>
  <si>
    <t>augustin@deepomatic.com</t>
  </si>
  <si>
    <t>53 rue de Turbigo</t>
  </si>
  <si>
    <t>75003</t>
  </si>
  <si>
    <t>Mr. Augustin Marty is a Co-Founder and serves as Chief Executive Officer at Deepomatic. He previously served as a Responsable d'Affaires at Vinci Energies. A graduate engineer from Ponts ParisTech, Augustin promotes our vision and ambition as spokesperson and president of Deepomatic. Drawing on his experience at Vinci Construction, he brings his knowledge and expertise in the industrial field to our clients. He thus identifies the long-term value of AI projects and finds solutions to improve business productivity, enabling us to quickly build a relationship of trust with our customers.</t>
  </si>
  <si>
    <t>218286-64P</t>
  </si>
  <si>
    <t>Austin Cappon</t>
  </si>
  <si>
    <t>Cappon</t>
  </si>
  <si>
    <t>Co-Founder &amp; Director, Networks &amp; Hardware</t>
  </si>
  <si>
    <t>New Sun Road</t>
  </si>
  <si>
    <t>+1 (510) 550-5252</t>
  </si>
  <si>
    <t>Richmond, CA</t>
  </si>
  <si>
    <t>1301 South 46th Street</t>
  </si>
  <si>
    <t>Building 112, Richmond Field Station</t>
  </si>
  <si>
    <t>94804</t>
  </si>
  <si>
    <t>Mr. Austin Cappon is a Co-Founder and serves as Director, Networks &amp; Hardware at New Sun Road.</t>
  </si>
  <si>
    <t>226770-85P</t>
  </si>
  <si>
    <t>Austin Troy Ph.D</t>
  </si>
  <si>
    <t>Troy</t>
  </si>
  <si>
    <t>Co-Founder &amp; Principal</t>
  </si>
  <si>
    <t>Spatial Informatics Group</t>
  </si>
  <si>
    <t>atroy@sig-gis.com</t>
  </si>
  <si>
    <t>Pleasanton, CA</t>
  </si>
  <si>
    <t>2529 Yolanda Court</t>
  </si>
  <si>
    <t>Pleasanton</t>
  </si>
  <si>
    <t>94566</t>
  </si>
  <si>
    <t>Dr. Austin Troy is a Co-Founder of Spatial Informatics Group and serves as its Principal. He also co-leads the Ecosystem Services Team as SIG. In addition to his private sector work, Dr. Troy is Professor and Chair at the University of Colorado Denver's Department of Urban and Regional Planning. His academic work addresses issues at the intersection of urban and regional planning and environmental sustainability, focusing particularly on urban green infrastructure. He is author of the book The Very Hungry City (Yale University Press, 2012), which is about how cities consume energy, what rising global energy prices will mean for cities in the future and what cities can do today reduce their energy footprint without compromising their quality of life. He also lead-edited and co-authored the book Living on the Edge: Economic, Institutional and Management Perspectives on Wildfire Hazard in the Urban Interface (Elsevier Press, 2007) and has authored dozens of journal articles and book chapters. His work has been covered in numerous media venues, including public radio stations across the country, The Boston Globe, Vancouver Sun, Grist, Baltimore Sun, Atlantic Monthly's Atlantic Cities magazine, Slate, Calgary Herald, Edmonton Journal and many others. He is an affiliate of the Gund Institute of Ecological Economics and co-principal investigator of the Baltimore Ecosystem Study, one of the National Science Foundation's two urban Long-Term Ecological Research projects. He sits on the governing board of the Association of Collegiate Schools of Planning. In addition, he served for four years as a planning commissioner for the city of Burlington VT. Educated at Yale College (B.A.), Yale School of Forestry &amp; Environmental Studies (M.F.) and University of California Berkeley (Ph.D.), he is originally from Los Angeles, CA and now lives in Denver.</t>
  </si>
  <si>
    <t>130954-87P</t>
  </si>
  <si>
    <t>Axel Sjostedt</t>
  </si>
  <si>
    <t>Sjostedt</t>
  </si>
  <si>
    <t>Axel</t>
  </si>
  <si>
    <t>Cloud Insurance</t>
  </si>
  <si>
    <t>+47 92 20 11 61</t>
  </si>
  <si>
    <t>axel.sjostedt@cs.no</t>
  </si>
  <si>
    <t>Oslo, Norway</t>
  </si>
  <si>
    <t>Langkaia 1 - Havnelageret</t>
  </si>
  <si>
    <t>Oslo</t>
  </si>
  <si>
    <t>0150</t>
  </si>
  <si>
    <t>Norway</t>
  </si>
  <si>
    <t>Mr. Axel Sjostedt is the Co-Founder and serves as Chief Executive Officer at Cloud Insurance.</t>
  </si>
  <si>
    <t>100342-18P</t>
  </si>
  <si>
    <t>Baljot Singh</t>
  </si>
  <si>
    <t>Baljot</t>
  </si>
  <si>
    <t>Co-Founder &amp; Hardware Lead</t>
  </si>
  <si>
    <t>Clarity (Electronic Equipment and Instruments)</t>
  </si>
  <si>
    <t>+1 (510) 545-6217</t>
  </si>
  <si>
    <t>baljot@clarity.io</t>
  </si>
  <si>
    <t>808 Gilman Street</t>
  </si>
  <si>
    <t>Mr. Baljot Singh is a Co-Founder and serves as Hardware Lead at Clarity Movement.</t>
  </si>
  <si>
    <t>137119-51P</t>
  </si>
  <si>
    <t>Barbara Rosario Ph.D</t>
  </si>
  <si>
    <t>Rosario</t>
  </si>
  <si>
    <t>Barbara</t>
  </si>
  <si>
    <t>Vyrill</t>
  </si>
  <si>
    <t>barbara@vyrill.com</t>
  </si>
  <si>
    <t>185 Castro Street</t>
  </si>
  <si>
    <t>94114</t>
  </si>
  <si>
    <t>Ms. Barbara Rosario is a Co-Founder and serves as Chief Technology Officer at Vyrill.</t>
  </si>
  <si>
    <t>38343-61P</t>
  </si>
  <si>
    <t>Barry Bunin Ph.D</t>
  </si>
  <si>
    <t>Bunin</t>
  </si>
  <si>
    <t>Barry</t>
  </si>
  <si>
    <t>Founder, Chief Executive Officer, Board Member &amp; President</t>
  </si>
  <si>
    <t>Collaborative Drug Discovery</t>
  </si>
  <si>
    <t>+1 (650) 242-5259</t>
  </si>
  <si>
    <t>bbunin@collaborativedrug.com</t>
  </si>
  <si>
    <t>1633 Bayshore Highway</t>
  </si>
  <si>
    <t>Suite 342</t>
  </si>
  <si>
    <t>Dr. Barry Bunin is the Founder of Collaborative Drug Discovery, where he serves as President, Chief Executive Officer and Board Member. Prior to CDD, Dr. Bunin was an Entrepreneur in Residence with Eli Lilly &amp; Co. Before that he was the founding CEO, President, &amp; CSO of Libraria (now Eidogen-Sertanty). At Libraria, Dr. Bunin led a team that integrated exhaustive reaction capture (synthetic chemistry) with gene-family wide SAR capture (medicinal chemistry). On the scientific side, he co-authored "Chemoinformatics: Theory, Practice, and Products" (Springer-Verlag), a text that overviews modern chemoinformatics technologies, and "The Combinatorial Index" (Academic Press), a widely used text on high-throughput chemical synthesis. Dr. Bunin received his B.A. from Columbia University and his Ph.D. from UC Berkeley.</t>
  </si>
  <si>
    <t>49439-62P</t>
  </si>
  <si>
    <t>Barry Fogel MD</t>
  </si>
  <si>
    <t>Fogel</t>
  </si>
  <si>
    <t>Executive Vice President, Co-Founder &amp; Board Member</t>
  </si>
  <si>
    <t>Pointright</t>
  </si>
  <si>
    <t>+1 (781) 457-5900</t>
  </si>
  <si>
    <t>barry.fogel@pointright.com</t>
  </si>
  <si>
    <t>150 CambridgePark Drive</t>
  </si>
  <si>
    <t>Suite 301</t>
  </si>
  <si>
    <t>02140</t>
  </si>
  <si>
    <t>Dr. Barry Fogel is a Co-Founder and serves as Board Member and Chief Scientific Officer at Synchroneuron. Dr. Barry Fogel serves as Executive Vice President &amp; Board Member and is the Co-Founder of Pointright. He is responsible for new product design and business development at PointRight. He wrote the original business plan for the company and led development of the Data Integrity Audit. More recently he has been involved with devising the litigation risk models and risk management program. Barry is a Clinical Professor at Harvard Medical School. He received his MD from UCSF and his clinical training at Harvard and Stanford. Barry is the Former Associate Director of the Brown University Center for Gerontology and Healthcare Research. He is the author/editor of 10 books; holds nine patents, and has published over 125 articles and book chapters in neurology, psychiatry, geriatrics and long term care. He was a Sloan Fellow at MIT from 1996-97.</t>
  </si>
  <si>
    <t>51202-00P</t>
  </si>
  <si>
    <t>Bea Knecht</t>
  </si>
  <si>
    <t>Knecht</t>
  </si>
  <si>
    <t>Bea</t>
  </si>
  <si>
    <t>Zattoo International</t>
  </si>
  <si>
    <t>+41 (0)43 500 2100</t>
  </si>
  <si>
    <t>bea@zattoo.com</t>
  </si>
  <si>
    <t>Zurich, Switzerland</t>
  </si>
  <si>
    <t>Baslerstrasse 60</t>
  </si>
  <si>
    <t>Zurich</t>
  </si>
  <si>
    <t>8048</t>
  </si>
  <si>
    <t>+41 (0)43 500 2111</t>
  </si>
  <si>
    <t>Ms. Knecht serves is the Founder and serves as Board Member at Zattoo. Prior to co-founding Zattoo, Bea built banking, HR, and datacenter automation software for large banks, enterprise software providers and a Silicon Valley startup and served as associate partner at a strategy consulting firm. Bea holds a BA in Computer Science from the University of California (Berkeley) and an MBA degree from IMD in Lausanne, Switzerland</t>
  </si>
  <si>
    <t>91138-51P</t>
  </si>
  <si>
    <t>Ben Autrey</t>
  </si>
  <si>
    <t>Autrey</t>
  </si>
  <si>
    <t>Contextly</t>
  </si>
  <si>
    <t>+1 (415) 312-4870</t>
  </si>
  <si>
    <t>ben@contextly.com</t>
  </si>
  <si>
    <t>131 Bernard Street</t>
  </si>
  <si>
    <t>Mr. Autrey is a Co-Founder of Contextly. Ben Autrey has been building graph-based ranking, recommendation and inference systems on large social datasets since 2008. At InboxQ (YC W '10) he designed a system for identifying high-quality questions on Twitter and automatically matching them to knowledgeable experts. At Dynamic Signal he designed systems for automatically discovering and ranking users and content in narrowly-defined areas of interest. Ben studied math, statistics and economics at UC Berkeley.</t>
  </si>
  <si>
    <t>54286-57P</t>
  </si>
  <si>
    <t>Ben Wild</t>
  </si>
  <si>
    <t>Wild</t>
  </si>
  <si>
    <t>Iota (Electronics)</t>
  </si>
  <si>
    <t>ben@iotera.com</t>
  </si>
  <si>
    <t>370 Convention Way</t>
  </si>
  <si>
    <t>Suite 220</t>
  </si>
  <si>
    <t>Mr. Ben Wild is a Co-Founder and serves as Chief Executive Officer of Iotera. He has 14 years experience designing digital, analog, RF circuits as well as signal processing algorithms for a variety of systems including wireless communications and positioning radios, RFID readers/tags, defense electronics and optical systems.</t>
  </si>
  <si>
    <t>68927-23P</t>
  </si>
  <si>
    <t>Benidict Choy</t>
  </si>
  <si>
    <t>Choy</t>
  </si>
  <si>
    <t>Benidict</t>
  </si>
  <si>
    <t>Senior Vice President &amp; Executive, Technology Development</t>
  </si>
  <si>
    <t>Supertex</t>
  </si>
  <si>
    <t>+1 (408) 222-8888</t>
  </si>
  <si>
    <t>1235 Bordeaux Dr</t>
  </si>
  <si>
    <t>+1 (408) 222-4800</t>
  </si>
  <si>
    <t>Mr. Benidict Choy serves as Senior Vice President &amp; Executive, Technology Development at Supertex.</t>
  </si>
  <si>
    <t>80529-94P</t>
  </si>
  <si>
    <t>Benjamin Coates Ph.D</t>
  </si>
  <si>
    <t>Coates</t>
  </si>
  <si>
    <t>Renewlogy</t>
  </si>
  <si>
    <t>bcoates@pkclean.com</t>
  </si>
  <si>
    <t>Salt Lake City, UT</t>
  </si>
  <si>
    <t>Salt Lake City</t>
  </si>
  <si>
    <t>Utah</t>
  </si>
  <si>
    <t>Dr. Benjamin Coates is a Co-Founder and serves as Chief Technology Officer at Renewlogy. Ben's design expertise has spanned multiple waste to energy systems. He brings experience in Electrical Engineering (UC Berkeley) as well as Chemical Engineering (University of Utah).</t>
  </si>
  <si>
    <t>156185-47P</t>
  </si>
  <si>
    <t>Benjamin Duranske JD</t>
  </si>
  <si>
    <t>Duranske</t>
  </si>
  <si>
    <t>Co-Founder, Chief Executive Officer, Chief Financial Officer</t>
  </si>
  <si>
    <t>Beam Solutions</t>
  </si>
  <si>
    <t>+1 (415) 840-8120</t>
  </si>
  <si>
    <t>ben@beamsolutions.com</t>
  </si>
  <si>
    <t>847 Sansome Street</t>
  </si>
  <si>
    <t>Fl LL</t>
  </si>
  <si>
    <t>Mr. Benjamin Duranske is a Co-Founder and also serves as the Chief Executive Officer, Chief Financial Officer at Beam Solutions. He is a Co-Founder and serves as Chief Executive Officer &amp; Chief Financial Officer. He served as Board Member at Purposeful. He is a fintech compliance and product leader with deep experience across the financial services, regulatory, and technology industries. Before co-founding Beam, he served as Chief Compliance Officer of Facebook Payments from the subsidiary's 2010 formation through mid-2015. While at Facebook, he built a global compliance team, managed worldwide licenses and regulatory relationships, and directed internal compliance software builds and external compliance software requisition. Prior to Facebook, he worked at PayPal, and before that, he represented payments and platform companies in private practice as an attorney. Ben has also consulted with and served on the Boards of Directors of several FinTechs, including startups and established companies, and taught classes at Santa Clara Law. He earned his J.D. at the University of California Berkeley, Boalt Hall.</t>
  </si>
  <si>
    <t>119978-92P</t>
  </si>
  <si>
    <t>Benjamin Hindman</t>
  </si>
  <si>
    <t>Hindman</t>
  </si>
  <si>
    <t>D2iQ</t>
  </si>
  <si>
    <t>+1 (415) 805-1222</t>
  </si>
  <si>
    <t>ben@mesosphere.com</t>
  </si>
  <si>
    <t>225 Bush Street</t>
  </si>
  <si>
    <t>Mr. Benjamin Hindman is a Co-Founder and serves as the Chief Product Officer at Mesosphere. He has completed his BE degree in Computer Science from University of Washington in 2006.</t>
  </si>
  <si>
    <t>216124-03P</t>
  </si>
  <si>
    <t>Bernhard Suter</t>
  </si>
  <si>
    <t>Suter</t>
  </si>
  <si>
    <t>Bernhard</t>
  </si>
  <si>
    <t>Next Interactions</t>
  </si>
  <si>
    <t>+1 (510) 730-2059</t>
  </si>
  <si>
    <t>suter@nextinteractions.com</t>
  </si>
  <si>
    <t>2600 Hilltop Drive</t>
  </si>
  <si>
    <t>Building B, C332</t>
  </si>
  <si>
    <t>94806</t>
  </si>
  <si>
    <t>Mr. Bernhard Suter is a Co-Founder of Next Interactions and also serves as the Chief Executive Officer.</t>
  </si>
  <si>
    <t>67662-91P</t>
  </si>
  <si>
    <t>Bertrand Vick Ph.D</t>
  </si>
  <si>
    <t>Vick</t>
  </si>
  <si>
    <t>Bertrand</t>
  </si>
  <si>
    <t>Rev Genomics</t>
  </si>
  <si>
    <t>+1 (510) 325-0484</t>
  </si>
  <si>
    <t>bert@revgenomics.com</t>
  </si>
  <si>
    <t>4678 Dolores Avenue</t>
  </si>
  <si>
    <t>94602</t>
  </si>
  <si>
    <t>Dr. Bertrand Vick is a Co-Founder and serves as Chief Executive Officer and Board Member at Rev Genomics. He co-founded and served as the Chief Technology Officer and Chief Scientific Officer at Aurora Algae. Prior to co-founding Aurora Algae, Bert's doctoral research at the University of California, Berkeley focused on gene expression in complex eukaryotes. He developed deep expertise in protein biochemistry and molecular biology while gaining broad experience in cell culture, molecular genetics, antibody production and cell-based assay development. Bert earned his B.S. in Molecular Biology from the University of Texas, Austin, where he graduated summa cum laude.</t>
  </si>
  <si>
    <t>247449-34P</t>
  </si>
  <si>
    <t>Bill Draper</t>
  </si>
  <si>
    <t>Draper</t>
  </si>
  <si>
    <t>Bill</t>
  </si>
  <si>
    <t>NextPhase.ai</t>
  </si>
  <si>
    <t>+1 (888) 812-6087</t>
  </si>
  <si>
    <t>bdraper@nextphase.ai</t>
  </si>
  <si>
    <t>1710 S Amphlett Boulevard</t>
  </si>
  <si>
    <t>Mr. Bill Draper is a Co-Founder and serves as President at NextPhase.ai. He is an accomplished, skillful business leader with over 27 years of experience working with or within Fortune 500 companies. His expertise and boundless knowledge have helped solve some of the most difficult business and technology challenges of the day. Bill has led strategic client projects across global enterprises including; cloud solutions, data analytics, and enterprise insights. He has extensive knowledge in Executive Management, Sales, Services, Product and Account Management and Technical/Business Consulting roles. Prior to NextPhase, Bill held executive roles at PeopleSoft/Oracle, Evolve Software, Softscape, and Parature. Bill was instrumental in launching global consulting services for Oracle/PeopleSoft in Asia Pacific where he built and managed delivery for their off-shore development teams. His widespread experience and hands-on interactions with C-level executives as well as senior business and operation level staff helped drive sales within these organizations to record numbers. Bill's comprehensive background and tenure has made him a SME within these industry verticals; Financial Services, Healthcare, Telecommunications, Retail, Consumer Products, Technology, and Professional Services. Bill holds a bachelor's degree in Business Administration and Political Science from the University of California, Berkeley.</t>
  </si>
  <si>
    <t>35967-34P</t>
  </si>
  <si>
    <t>Bill Purcell</t>
  </si>
  <si>
    <t>Purcell</t>
  </si>
  <si>
    <t>Co Founder &amp; Chief Executive Officer</t>
  </si>
  <si>
    <t>AisleFire</t>
  </si>
  <si>
    <t>bill@aislefire.com</t>
  </si>
  <si>
    <t>Alamo, CA</t>
  </si>
  <si>
    <t>15 Marion Court</t>
  </si>
  <si>
    <t>Alamo</t>
  </si>
  <si>
    <t>94507</t>
  </si>
  <si>
    <t>Mr. Bill Purcell is the Co Founder &amp; also serves as the Chief Executive Officer at AisleFire Labs. He served as the Acting Chief Executive Officer at OSA. Prior to this, he served as the Co-Founder, Chairman and Chief Executive Officer at Market6. He is a pioneer in bringing new technology to the Fast Moving Consumer Goods industry, having co-founded Apollo Space Management, efficient market services (ems), planetU and now Market6. He gained operating experience from American Stores (now part of SUPERVALU/Albertsons) in a variety of store management, marketing and technology roles. He served as Co-Founder and Vice President of Sales and Marketing for the Apollo Space Management System, Senior Vice President of Sales and Marketing for Information Resources Inc. (now, Symphony/IRI), Executive Vice President and Co-Founder of efficient market services (ems), Chief Executive Officer and Founder of planetU, and Chief New Markets Officer at Transora (now 1SYNC). He studied Computer Science and Business Administration at the University of California, Berkeley, and the Food Industry Management Program at the Graduate School of Business at the University of Southern California.</t>
  </si>
  <si>
    <t>225984-70P</t>
  </si>
  <si>
    <t>Bo Wei</t>
  </si>
  <si>
    <t>Wei</t>
  </si>
  <si>
    <t>Bo</t>
  </si>
  <si>
    <t>Chairman &amp; Founder</t>
  </si>
  <si>
    <t>Chengdu Vantron Technology</t>
  </si>
  <si>
    <t>+86 (0)28 8512 3930</t>
  </si>
  <si>
    <t>bowei@vantrontech.com.cn</t>
  </si>
  <si>
    <t>Chengdu, China</t>
  </si>
  <si>
    <t>5-6/F, Building 1</t>
  </si>
  <si>
    <t>9 Wuke East 3rd Road, Wuke District</t>
  </si>
  <si>
    <t>Chengdu</t>
  </si>
  <si>
    <t>Sichuan</t>
  </si>
  <si>
    <t>+86 (0)28 8512 3935</t>
  </si>
  <si>
    <t>Mr. Bo Wei serves as Chairman &amp; Founder at Chengdu Vantron Technology.</t>
  </si>
  <si>
    <t>185369-59P</t>
  </si>
  <si>
    <t>Bob Penland</t>
  </si>
  <si>
    <t>Penland</t>
  </si>
  <si>
    <t>Bob</t>
  </si>
  <si>
    <t>Pen-Cal Administrators</t>
  </si>
  <si>
    <t>+1 (925) 251-3400</t>
  </si>
  <si>
    <t>bob.penland@pencal.com</t>
  </si>
  <si>
    <t>Livermore, CA</t>
  </si>
  <si>
    <t>7633 Southfront Road</t>
  </si>
  <si>
    <t>Suite 120</t>
  </si>
  <si>
    <t>Livermore</t>
  </si>
  <si>
    <t>94551</t>
  </si>
  <si>
    <t>Mr. Bob Penland is the Founder &amp; serves as Chairman at Pen-Cal Administrators. He is one of the leading executive benefits consultants and has more than 50 years experience in the employee and executive benefits industry. Since founding Pen-Cal in 1959, Bob has been an integral part in the overall direction and management of the firm. With Bob's foundation and guidance, Pen-Cal's marketing philosophies and systems remain on the leading edge of the industry.</t>
  </si>
  <si>
    <t>125676-73P</t>
  </si>
  <si>
    <t>Bobbi DePorter</t>
  </si>
  <si>
    <t>DePorter</t>
  </si>
  <si>
    <t>Bobbi</t>
  </si>
  <si>
    <t>Quantum Learning Network</t>
  </si>
  <si>
    <t>+1 (800) 228-5327</t>
  </si>
  <si>
    <t>bdeporter@qln.com</t>
  </si>
  <si>
    <t>Oceanside, CA</t>
  </si>
  <si>
    <t>1938 Avenida Del Oro</t>
  </si>
  <si>
    <t>Oceanside</t>
  </si>
  <si>
    <t>92056</t>
  </si>
  <si>
    <t>+1 (760) 722-3507</t>
  </si>
  <si>
    <t>Ms. Bobbi DePorter is a Co-Founder and serves as President at Quantum Learning Network. Bobbi is involved in many industry organizations, including having served as chair of the Best Practices in Education project for the San Diego Regional Chamber of Commerce Foundation's Business Roundtable for Education. Currently she serves on the Oceanside Unified School District's Oceanside's Promise Leadership Table, and GENI Global Energy Network Institute. GENI was founded to further the work of R. Buckminster Fuller, who Bobbi had an association with over seven years, until his passing in 1983. Bobbi was invited to write a chapter in the recent book, A Fuller View.</t>
  </si>
  <si>
    <t>121913-83P</t>
  </si>
  <si>
    <t>Boris Lipkind</t>
  </si>
  <si>
    <t>Lipkind</t>
  </si>
  <si>
    <t>Boris</t>
  </si>
  <si>
    <t>Innovative Travel Technologies</t>
  </si>
  <si>
    <t>+1 (303) 868-0792</t>
  </si>
  <si>
    <t>boris.lipkind@biletyplus.ru</t>
  </si>
  <si>
    <t>Aurora, CO</t>
  </si>
  <si>
    <t>5373 Valdai Way</t>
  </si>
  <si>
    <t>Aurora</t>
  </si>
  <si>
    <t>80015</t>
  </si>
  <si>
    <t>Mr. Boris Lipkind is a Co-Founder at Innovative Travel Technologies. He is also Co-Founder of Biletyplus.</t>
  </si>
  <si>
    <t>116809-48P</t>
  </si>
  <si>
    <t>Bosco Lam</t>
  </si>
  <si>
    <t>Lam</t>
  </si>
  <si>
    <t>Bosco</t>
  </si>
  <si>
    <t>AlikeAudience</t>
  </si>
  <si>
    <t>+1 (408) 320-8866</t>
  </si>
  <si>
    <t>boscolam@alikeaudience.com</t>
  </si>
  <si>
    <t>440 North Wolfe Road</t>
  </si>
  <si>
    <t>Mr. Bosco Lam is a Co-Founder and serves as Chief Executive Officer at AlikeAudience. He also co-founded Affashion.</t>
  </si>
  <si>
    <t>48765-79P</t>
  </si>
  <si>
    <t>Bradley Younge</t>
  </si>
  <si>
    <t>Younge</t>
  </si>
  <si>
    <t>Bradley</t>
  </si>
  <si>
    <t>SkyKick</t>
  </si>
  <si>
    <t>+1 (888) 503-3367</t>
  </si>
  <si>
    <t>bradley.younge@skykick.com</t>
  </si>
  <si>
    <t>200 West Thomas Street</t>
  </si>
  <si>
    <t>Mr. Younge is a Co-Founder and serves as the Chief Technology Officer at SkyKick. Prior to SkyKick, Younge was at Statera -a business and technology consulting firm- for 10 years, holding a number of technical and leadership roles consulting to many of the largest companies in Denver, CO. Younge also helped to launch Statera's SharePoint practice at the release of SharePoint 2007 and opened an expansion office in Dallas in '08. Before Statera, Younge was involved with two tech startups in the late 90s, gaining technology leadership experience as the 3rd employee at drugstore.com, followed by becoming a technical architect at CriticalArc Technologies. Younge holds an MS in Electrical Engineering from the University of California, Berkeley and a BS in EE from Cornell University.</t>
  </si>
  <si>
    <t>168250-87P</t>
  </si>
  <si>
    <t>Brandi DeCarli</t>
  </si>
  <si>
    <t>DeCarli</t>
  </si>
  <si>
    <t>Brandi</t>
  </si>
  <si>
    <t>Farm from a Box</t>
  </si>
  <si>
    <t>bdecarli@farmfromabox.com</t>
  </si>
  <si>
    <t>101 The Embarcadero</t>
  </si>
  <si>
    <t>Suite 214</t>
  </si>
  <si>
    <t>Ms. Brandi DeCarli is a Co-Founder of Farm from a Box. Specializing in strategy and business development, she has experience in creating successful strategic campaigns and marketing plans for both for-profit and nonprofit sectors. She worked to develop cross-sector partnerships with academic institutions, private corporations, governments, and philanthropic organizations.</t>
  </si>
  <si>
    <t>251025-40P</t>
  </si>
  <si>
    <t>Brandon Wu</t>
  </si>
  <si>
    <t>Brandon</t>
  </si>
  <si>
    <t>Co-Founder, Board Member &amp; Business and Production Executive</t>
  </si>
  <si>
    <t>Markd</t>
  </si>
  <si>
    <t>brandon@markd.ltd</t>
  </si>
  <si>
    <t>Unit 1.1 Lafone House, The Leather Market</t>
  </si>
  <si>
    <t>11/13 Weston Street</t>
  </si>
  <si>
    <t>SE1 3ER</t>
  </si>
  <si>
    <t>Mr. Brandon Wu is a Co-Founder &amp; serves as Board Member &amp; Business and Production Executive at Markd.</t>
  </si>
  <si>
    <t>48814-21P</t>
  </si>
  <si>
    <t>Brent Locks</t>
  </si>
  <si>
    <t>Locks</t>
  </si>
  <si>
    <t>Brent</t>
  </si>
  <si>
    <t>Builder (Internet Software)</t>
  </si>
  <si>
    <t>brent@builder.io</t>
  </si>
  <si>
    <t>1501 Filbert Street</t>
  </si>
  <si>
    <t>Suite 7B</t>
  </si>
  <si>
    <t>Mr. Brent Locks is a Co-Founder and serves as President at Builder. He co-founded and served as Chief Executive Officer at Pict. He co-founded Simplynk.</t>
  </si>
  <si>
    <t>163517-68P</t>
  </si>
  <si>
    <t>Brett DeSchepper Ph.D</t>
  </si>
  <si>
    <t>DeSchepper</t>
  </si>
  <si>
    <t>iHomeFinder</t>
  </si>
  <si>
    <t>brett@ihomefinder.com</t>
  </si>
  <si>
    <t>2560 Ninth Street</t>
  </si>
  <si>
    <t>Dr. Brett DeSchepper is a Co-Founder of iHomeFinder. He previously serves as Chief Executive Officer and President at iHomeFinder. He managed relationships with strategic partners, provides a long-term vision for the company and guided new product development. Prior to iHomefinder, he worked as a CTO at Distributed Learning Workshop, a systems engineer at Advanced Computer Communications and a user interface designer at Whistle Communications. He also taught cognitive science at U.C. Berkeley. He obtained a Ph.D. in Cognitive Science from U.C. Berkeley and a B.S. in Computers and Systems Engineering from Rensselaer Polytechnic Institute.</t>
  </si>
  <si>
    <t>119601-19P</t>
  </si>
  <si>
    <t>Brian Berson</t>
  </si>
  <si>
    <t>Berson</t>
  </si>
  <si>
    <t>FileThis</t>
  </si>
  <si>
    <t>+1 (415) 786-7059</t>
  </si>
  <si>
    <t>brian.berson@filethis.com</t>
  </si>
  <si>
    <t>351 Jean Street</t>
  </si>
  <si>
    <t>Mr. Brian Berson is a Co-Founder and serves as Chief Executive Officer &amp; Board Member at FileThis. He is a successful 25 year veteran of the software industry. He holds an MBA (Master of Business Administration) from University of California, Berkeley. He also has a BS (Bachelor of Science) in Computer Science from UC Berkeley (Haas).</t>
  </si>
  <si>
    <t>45497-80P</t>
  </si>
  <si>
    <t>Brian de Haaff</t>
  </si>
  <si>
    <t>de Haaff</t>
  </si>
  <si>
    <t>Aha! (Business/Productivity Software)</t>
  </si>
  <si>
    <t>+1 (888) 926-2240</t>
  </si>
  <si>
    <t>brian@aha.io</t>
  </si>
  <si>
    <t>20 Gloria Circle</t>
  </si>
  <si>
    <t>Mr. Brian de Haaff is a Co-Founder of Aha! and also serves as its Chief Executive Officer. He graduated with honors from both U.C. Berkeley and Northwestern University and has been awarded multiple patents. De Haaff writes and speaks about product and company growth and the adventure of living a meaningful life. He has been the founder or early employee of six cloud-based software companies</t>
  </si>
  <si>
    <t>127839-52P</t>
  </si>
  <si>
    <t>Brian Gamido</t>
  </si>
  <si>
    <t>Gamido</t>
  </si>
  <si>
    <t>Yardbook</t>
  </si>
  <si>
    <t>brian@yardbook.com</t>
  </si>
  <si>
    <t>1900 South Norfolk Street</t>
  </si>
  <si>
    <t>Mr. Brian Gamido is a Co-Founder of Yardbook. He served as Head of Business Development at Deepgram. He co-founded and served as Chief Executive Officer at Palarin. He previously advised Fortune 500 clients on strategy and operations and Co-Founded a venture backed SaaS company.</t>
  </si>
  <si>
    <t>170700-94P</t>
  </si>
  <si>
    <t>Brian Johnston Ph.D</t>
  </si>
  <si>
    <t>Johnston</t>
  </si>
  <si>
    <t>SomaGenics</t>
  </si>
  <si>
    <t>+1 (831) 426-7700</t>
  </si>
  <si>
    <t>2161 Delaware Avenue</t>
  </si>
  <si>
    <t>+1 (831) 420-0685</t>
  </si>
  <si>
    <t>Dr. Brian Johnston is the Founder at SomaGenics and serves as Chief Executive Officer and Board Member in the company. Dr. Johnston has over 30 years of experience in scientific innovation and product development. He holds a Ph.D. in biophysical chemistry from the University of California, Berkeley and did post-doctoral research at UCSF and MIT. Dr. Johnston was previously Director of the Nucleic Acids Program at SRI International and Consulting Professor of Pediatrics at Stanford University School of Medicine. He has coauthored 56 scientific papers and 24 patents.</t>
  </si>
  <si>
    <t>107662-51P</t>
  </si>
  <si>
    <t>Brian Norton</t>
  </si>
  <si>
    <t>Norton</t>
  </si>
  <si>
    <t>Chameleon (Media and Information Services)</t>
  </si>
  <si>
    <t>brian@trychameleon.com</t>
  </si>
  <si>
    <t>714 Treat Avenue</t>
  </si>
  <si>
    <t>Mr. Brian Norton is a Co-Founder and serves as the Chief Technology Officer at Chameleon. He was a Co-Founder of Shoto. He previously built user onboarding at Involver (later acquired by Oracle) and worked at Salesforce after studying Computer Science at UC Berkeley.</t>
  </si>
  <si>
    <t>250698-70P</t>
  </si>
  <si>
    <t>Brian O'Brien</t>
  </si>
  <si>
    <t>O'Brien</t>
  </si>
  <si>
    <t>Co-Founder, Architect &amp; Chief Executive Officer</t>
  </si>
  <si>
    <t>Opoplan</t>
  </si>
  <si>
    <t>+1 (087) 235-7530</t>
  </si>
  <si>
    <t>brian@opoplan.com</t>
  </si>
  <si>
    <t>1030 North Rogers Lane</t>
  </si>
  <si>
    <t>Suite 121 - 4001</t>
  </si>
  <si>
    <t>27610</t>
  </si>
  <si>
    <t>Mr. Brian O'Brien is a Co-Founder and serves as Architect &amp; Chief Executive Officer at Opoplan. He is an award-winning architect with over twenty years in professional practice, Brian has a Masters in Architecture from UC Berkeley and has designed houses all over the world. Brian is passionate about getting the simple things in the design of a family home just right, because these are the things that make life better.</t>
  </si>
  <si>
    <t>65469-61P</t>
  </si>
  <si>
    <t>Brian Overstreet</t>
  </si>
  <si>
    <t>Overstreet</t>
  </si>
  <si>
    <t>Advera Health Analytics</t>
  </si>
  <si>
    <t>+1 (707) 387-9230</t>
  </si>
  <si>
    <t>brian@adverseevents.com</t>
  </si>
  <si>
    <t>Santa Rosa, CA</t>
  </si>
  <si>
    <t>427 Mendocino Avenue</t>
  </si>
  <si>
    <t>Santa Rosa</t>
  </si>
  <si>
    <t>95403</t>
  </si>
  <si>
    <t>Mr. Brian Overstreet is a Co-Founder and serves as President, Chief Executive Officer &amp; Board Member at Advera Health Analytics. Mr. Overstreet brings more than fifteen years of experience building and managing companies in the data, research and investment industries. Prior to joining Advera Health, Brian was a co-founder of Sagient Research Systems, Inc. He served as the company's president and CEO from 1999 to 2009 and as the Chairman of the Board from 2010 until the company's acquisition in May 2012 by Informa plc. Sagient Research Systems is a publisher of specialized research and data. They develop, produce, and sell proprietary research products to global enterprises, including pharmaceutical companies, investment banks, mutual and hedge funds, academic institutions, and government agencies. While at Sagient Research, Mr. Overstreet was responsible for the development, production and sale of the Company's proprietary research products to global enterprises including pharmaceutical companies, investment banks, mutual and hedge funds, academic institutions and government agencies. During his tenure at Sagient Research, the Company was named to the Inc. 5000 list of fastest growing U.S. private companies, and continued to remain on the list for four consecutive years. Prior to Sagient Research, Mr. Overstreet was the Managing Director and head of U.S. operations for Midori Corporation and Midori Securities, a privately held investment bank. While at Midori, Mr. Overstreet focused on raising private capital for small U.S. public companies and successfully managed over $150 million in financing transactions. More recently, Mr. Overstreet co-founded Bruliam Wines with his wife, Dr. Kerith Overstreet. As a boutique California winery that has earned a number of 90+ point scores from Wine Enthusiast magazine, Bruliam Wines donates 100 percent of all profits to charity. Mr. Overstreet earned a B.A. in Political Science from the University of California at Berkeley.</t>
  </si>
  <si>
    <t>65869-12P</t>
  </si>
  <si>
    <t>Brian Pepin</t>
  </si>
  <si>
    <t>Pepin</t>
  </si>
  <si>
    <t>Rune Labs</t>
  </si>
  <si>
    <t>bpepin@runelabs.io</t>
  </si>
  <si>
    <t>649 Irving Street</t>
  </si>
  <si>
    <t>Mr. Brian Pepin is a Co-Founder &amp; serves as Chief Executive Officer &amp; Board Member at Rune Labs. Previously, he has worked as a Senior Hardware Engineer at Verily (Formerly Google Life Sciences). He has MS (Master of Science) in Electrical Engineering, Neural Engineering from University of California, Berkeley and a BS (Bachelor of Science) in Electrical Engineering from University of Washington.</t>
  </si>
  <si>
    <t>46539-28P</t>
  </si>
  <si>
    <t>Brian Stone</t>
  </si>
  <si>
    <t>Stone</t>
  </si>
  <si>
    <t>BankSight</t>
  </si>
  <si>
    <t>brian@banksight.com</t>
  </si>
  <si>
    <t>601 Montgomery Street</t>
  </si>
  <si>
    <t>Suite 1210</t>
  </si>
  <si>
    <t>Mr. Brian Stone is a Co-Founder of BankSight and also serves as its Chief Executive Officer. Previously, he served as Vice President, Marketing at Vlocity. He served as the Vice President, Marketing &amp; Products at Causata. Before this, he served as Vice President, Worldwide Sales &amp; Marketing at Nanosolar.</t>
  </si>
  <si>
    <t>47672-02P</t>
  </si>
  <si>
    <t>Brian Tang</t>
  </si>
  <si>
    <t>Tang</t>
  </si>
  <si>
    <t>Co-Founder, Board Member &amp; Head of Integration</t>
  </si>
  <si>
    <t>Kloudless</t>
  </si>
  <si>
    <t>brian.tang@developers.kloudless.com</t>
  </si>
  <si>
    <t>Mr. Brian Tang is a Co-Founder and serves as Board Member &amp; Head of Integrations at Kloudless. He is responsible for the company's connector strategy and partner integrations. Previously, Brian held research positions at UC Berkeley's Computational Cognitive Science Lab. Brian holds a Cognitive Science degree from the University of California, Berkeley.</t>
  </si>
  <si>
    <t>118240-03P</t>
  </si>
  <si>
    <t>Bridget Hamre Ph.D</t>
  </si>
  <si>
    <t>Hamre</t>
  </si>
  <si>
    <t>Bridget</t>
  </si>
  <si>
    <t>Teachstone Training</t>
  </si>
  <si>
    <t>+1 (866) 998-8352</t>
  </si>
  <si>
    <t>bhamre@teachstone.com</t>
  </si>
  <si>
    <t>Charlottesville, VA</t>
  </si>
  <si>
    <t>105 Monticello Avenue</t>
  </si>
  <si>
    <t>Charlottesville</t>
  </si>
  <si>
    <t>22902</t>
  </si>
  <si>
    <t>+1 (434) 293-4338</t>
  </si>
  <si>
    <t>Dr. Bridget Hamre is a Co-Founder of Teachstone Training. She is a Research Associate Professor and Associate Director of the University of Virginia's Center for Advanced Study of Teaching and Learning (CASTL). Throughout her career in education, Bridget has seen firsthand how powerful relationships between teachers and students can be in helping to set children on a positive trajectory, both in school and in life. With her expertise in student-teacher relationships and classroom processes, Bridget authored the MyTeachingPartner (MTP) Coaching and coursework (traditional and online). She received her BA from the University of California at Berkeley and her MEd and PhD in clinical psychology and school psychology from the University of Virginia.</t>
  </si>
  <si>
    <t>116341-39P</t>
  </si>
  <si>
    <t>Bruce Hironaka JD</t>
  </si>
  <si>
    <t>Hironaka</t>
  </si>
  <si>
    <t>IgGenix</t>
  </si>
  <si>
    <t>+1 (650) 491-9626</t>
  </si>
  <si>
    <t>329 Oyster Point Boulevard</t>
  </si>
  <si>
    <t>Mr. Bruce Hironaka is a Co-Founder and serves as Chief Executive Officer &amp; Board Member at IgGenix. He served as Board Member at Agenovir. He also served as Chief Executive Officer at Agenovir. He brings nearly 25 years of executive-level company-building, corporate development, operational, and strategic experience in the life science industry. Mr. Hironaka has served in executive roles with several start-up and early-stage life science companies including Aviron (acquired by MedImmune), Cell Genesys (acquired by BioSante), Thios Pharmaceuticals, and ImmuMetrix (acquired by CareDx). In addition, he has served as an executive advisor to several other life science companies. Mr. Hironaka was previously with McKinsey &amp; Company. He received his J.D. and M.B.A. from Stanford University and his A.B. in Economics from the University of California, Berkeley.</t>
  </si>
  <si>
    <t>140193-19P</t>
  </si>
  <si>
    <t>Bruce Richardson</t>
  </si>
  <si>
    <t>Richardson</t>
  </si>
  <si>
    <t>Accel Biotech</t>
  </si>
  <si>
    <t>+1 (408) 354-1700</t>
  </si>
  <si>
    <t>bruce@accelbiotech.com</t>
  </si>
  <si>
    <t>103 Cooper Court</t>
  </si>
  <si>
    <t>Mr. Bruce Richardson is the Founder and serves as the Chief Executive Officer at Accel Biotech.</t>
  </si>
  <si>
    <t>174011-50P</t>
  </si>
  <si>
    <t>Bryan Boudouris Ph.D</t>
  </si>
  <si>
    <t>Boudouris</t>
  </si>
  <si>
    <t>Bryan</t>
  </si>
  <si>
    <t>Co-Founder &amp; Scientific Advisor</t>
  </si>
  <si>
    <t>Anfiro</t>
  </si>
  <si>
    <t>+1 (929) 263-4760</t>
  </si>
  <si>
    <t>84 Tremont Street</t>
  </si>
  <si>
    <t>Dr. Bryan Boudouris is Co-Founder &amp; serves as Scientific Advisor at Anfiro. He joined Purdue in 2011. He is Robert and Sally Weist Associate Professor of Chemical Engineering. He is also Director of Professional Master's Program. He is an Associate Professor of Chemistry by Courtesy.</t>
  </si>
  <si>
    <t>45059-95P</t>
  </si>
  <si>
    <t>Bud Broomhead</t>
  </si>
  <si>
    <t>Broomhead</t>
  </si>
  <si>
    <t>Bud</t>
  </si>
  <si>
    <t>Viakoo</t>
  </si>
  <si>
    <t>+1 (650) 263-8225</t>
  </si>
  <si>
    <t>bud.broomhead@viakoo.com</t>
  </si>
  <si>
    <t>1100 La Avenida Street</t>
  </si>
  <si>
    <t>Building B</t>
  </si>
  <si>
    <t>94043</t>
  </si>
  <si>
    <t>Mr. Broomhead is the Chief Executive Officer &amp; Founder at Intransa. He is a Co-Founder of Viakoo and serves as its Chief Executive Officer and as a Board Member. Bud Broomhead is a serial entrepreneur who has led successful software and storage companies for more than two decades. He is a graduate of the University of California at Berkeley, with a degree in Earth Sciences.</t>
  </si>
  <si>
    <t>144491-59P</t>
  </si>
  <si>
    <t>Burch LaPrade</t>
  </si>
  <si>
    <t>LaPrade</t>
  </si>
  <si>
    <t>Burch</t>
  </si>
  <si>
    <t>Gain Compliance</t>
  </si>
  <si>
    <t>burch.laprade@gaincompliance.com</t>
  </si>
  <si>
    <t>Des Moines, IA</t>
  </si>
  <si>
    <t>321 East Walnut Street</t>
  </si>
  <si>
    <t>Des Moines</t>
  </si>
  <si>
    <t>Iowa</t>
  </si>
  <si>
    <t>50309</t>
  </si>
  <si>
    <t>Mr. Burch LaPrade serves as Chief Executive Officer at Gain Compliance. Gain Compliance is Burch's fourth startup. His first three represent the full spectrum - pure startup,turnaround, and late-stage enterprise - each of which resulted in a successful outcome for investors and owners. Burch spent the past four years at Workiva, where he most recently held the position of Vice President of Solutions Management. In this role, Burch built a team which was tasked with identifying new and significant revenue opportunities, and its success played an integral part in Workiva's successful IPO in 2015. Prior to Workiva, Burch spent a little over ten years at two separate startups which relied heavily on bootstrap revenue to fund growth; both resulted in successful outcomes for investors through acquisition. Upon graduation from Yale University (B.A., Economics), Burch served for four and a half years as a police officer for the city of Berkeley before returning to school to earn his M.B.A. from the University of California. Mr. LaPrade also served as Chief Executive officer at Brightroom.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</si>
</sst>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7" x14ac:knownFonts="1">
    <font>
      <sz val="11"/>
      <color theme="1"/>
      <name val="Calibri"/>
      <family val="2"/>
      <scheme val="minor"/>
    </font>
    <font>
      <sz val="10"/>
      <name val="Arial"/>
      <family val="2"/>
      <charset val="204"/>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color rgb="FF0000FF"/>
      <name val="Calibri"/>
    </font>
  </fonts>
  <fills count="5">
    <fill>
      <patternFill patternType="none"/>
    </fill>
    <fill>
      <patternFill patternType="gray125"/>
    </fill>
    <fill>
      <patternFill patternType="solid">
        <fgColor rgb="FF4F81BD"/>
      </patternFill>
    </fill>
    <fill>
      <patternFill patternType="solid">
        <fgColor rgb="FFEEF3F8"/>
      </patternFill>
    </fill>
    <fill>
      <patternFill patternType="solid">
        <fgColor rgb="FFFFFFFF"/>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46">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applyAlignment="1">
      <alignment wrapText="1"/>
    </xf>
    <xf numFmtId="0" fontId="5" fillId="3" borderId="3" xfId="0" applyFont="1" applyFill="1" applyBorder="1" applyAlignment="1">
      <alignment vertical="top" indent="1"/>
    </xf>
    <xf numFmtId="0" fontId="6" fillId="3" borderId="3" xfId="0" applyFont="1" applyFill="1" applyBorder="1" applyAlignment="1">
      <alignment vertical="top" indent="1"/>
    </xf>
    <xf numFmtId="0" fontId="7" fillId="3" borderId="3" xfId="0" applyFont="1" applyFill="1" applyBorder="1" applyAlignment="1">
      <alignment vertical="top" indent="1"/>
    </xf>
    <xf numFmtId="0" fontId="8" fillId="3" borderId="3" xfId="0" applyFont="1" applyFill="1" applyBorder="1" applyAlignment="1">
      <alignment vertical="top" indent="1"/>
    </xf>
    <xf numFmtId="0" fontId="9" fillId="3" borderId="3" xfId="0" applyFont="1" applyFill="1" applyBorder="1" applyAlignment="1">
      <alignment vertical="top" indent="1"/>
    </xf>
    <xf numFmtId="0" fontId="10" fillId="3" borderId="3" xfId="0" applyFont="1" applyFill="1" applyBorder="1" applyAlignment="1">
      <alignment vertical="top" indent="1"/>
    </xf>
    <xf numFmtId="164" fontId="11" fillId="3" borderId="3" xfId="0" applyNumberFormat="1" applyFont="1" applyFill="1" applyBorder="1" applyAlignment="1">
      <alignment horizontal="right" vertical="top" indent="1"/>
    </xf>
    <xf numFmtId="164" fontId="12" fillId="3" borderId="3" xfId="0" applyNumberFormat="1" applyFont="1" applyFill="1" applyBorder="1" applyAlignment="1">
      <alignment horizontal="right" vertical="top" indent="1"/>
    </xf>
    <xf numFmtId="164" fontId="13" fillId="3" borderId="3" xfId="0" applyNumberFormat="1" applyFont="1" applyFill="1" applyBorder="1" applyAlignment="1">
      <alignment horizontal="right" vertical="top" indent="1"/>
    </xf>
    <xf numFmtId="0" fontId="14" fillId="3" borderId="3" xfId="0" applyFont="1" applyFill="1" applyBorder="1" applyAlignment="1">
      <alignment vertical="top" indent="1"/>
    </xf>
    <xf numFmtId="0" fontId="15" fillId="3" borderId="3" xfId="0" applyFont="1" applyFill="1" applyBorder="1" applyAlignment="1">
      <alignment vertical="top" indent="1"/>
    </xf>
    <xf numFmtId="0" fontId="16" fillId="3" borderId="3" xfId="0" applyFont="1" applyFill="1" applyBorder="1" applyAlignment="1">
      <alignment vertical="top" indent="1"/>
    </xf>
    <xf numFmtId="0" fontId="17" fillId="3" borderId="3" xfId="0" applyFont="1" applyFill="1" applyBorder="1" applyAlignment="1">
      <alignment vertical="top" indent="1"/>
    </xf>
    <xf numFmtId="0" fontId="18" fillId="3" borderId="3" xfId="0" applyFont="1" applyFill="1" applyBorder="1" applyAlignment="1">
      <alignment vertical="top" indent="1"/>
    </xf>
    <xf numFmtId="0" fontId="19" fillId="3" borderId="3" xfId="0" applyFont="1" applyFill="1" applyBorder="1" applyAlignment="1">
      <alignment vertical="top" indent="1"/>
    </xf>
    <xf numFmtId="0" fontId="20" fillId="3" borderId="3" xfId="0" applyFont="1" applyFill="1" applyBorder="1" applyAlignment="1">
      <alignment vertical="top" indent="1"/>
    </xf>
    <xf numFmtId="0" fontId="21" fillId="3" borderId="3" xfId="0" applyFont="1" applyFill="1" applyBorder="1" applyAlignment="1">
      <alignment vertical="top" indent="1"/>
    </xf>
    <xf numFmtId="0" fontId="22" fillId="3" borderId="3" xfId="0" applyFont="1" applyFill="1" applyBorder="1" applyAlignment="1">
      <alignment vertical="top" indent="1"/>
    </xf>
    <xf numFmtId="0" fontId="23" fillId="3" borderId="3" xfId="0" applyFont="1" applyFill="1" applyBorder="1" applyAlignment="1">
      <alignment vertical="top" indent="1"/>
    </xf>
    <xf numFmtId="0" fontId="24" fillId="3" borderId="3" xfId="0" applyFont="1" applyFill="1" applyBorder="1" applyAlignment="1">
      <alignment vertical="top" indent="1"/>
    </xf>
    <xf numFmtId="0" fontId="25" fillId="4" borderId="3" xfId="0" applyFont="1" applyFill="1" applyBorder="1" applyAlignment="1">
      <alignment vertical="top" indent="1"/>
    </xf>
    <xf numFmtId="0" fontId="26" fillId="4" borderId="3" xfId="0" applyFont="1" applyFill="1" applyBorder="1" applyAlignment="1">
      <alignment vertical="top" indent="1"/>
    </xf>
    <xf numFmtId="0" fontId="27" fillId="4" borderId="3" xfId="0" applyFont="1" applyFill="1" applyBorder="1" applyAlignment="1">
      <alignment vertical="top" indent="1"/>
    </xf>
    <xf numFmtId="0" fontId="28" fillId="4" borderId="3" xfId="0" applyFont="1" applyFill="1" applyBorder="1" applyAlignment="1">
      <alignment vertical="top" indent="1"/>
    </xf>
    <xf numFmtId="0" fontId="29" fillId="4" borderId="3" xfId="0" applyFont="1" applyFill="1" applyBorder="1" applyAlignment="1">
      <alignment vertical="top" indent="1"/>
    </xf>
    <xf numFmtId="0" fontId="30" fillId="4" borderId="3" xfId="0" applyFont="1" applyFill="1" applyBorder="1" applyAlignment="1">
      <alignment vertical="top" indent="1"/>
    </xf>
    <xf numFmtId="164" fontId="31" fillId="4" borderId="3" xfId="0" applyNumberFormat="1" applyFont="1" applyFill="1" applyBorder="1" applyAlignment="1">
      <alignment horizontal="right" vertical="top" indent="1"/>
    </xf>
    <xf numFmtId="164" fontId="32" fillId="4" borderId="3" xfId="0" applyNumberFormat="1" applyFont="1" applyFill="1" applyBorder="1" applyAlignment="1">
      <alignment horizontal="right" vertical="top" indent="1"/>
    </xf>
    <xf numFmtId="164" fontId="33" fillId="4" borderId="3" xfId="0" applyNumberFormat="1" applyFont="1" applyFill="1" applyBorder="1" applyAlignment="1">
      <alignment horizontal="right" vertical="top" indent="1"/>
    </xf>
    <xf numFmtId="0" fontId="34" fillId="4" borderId="3" xfId="0" applyFont="1" applyFill="1" applyBorder="1" applyAlignment="1">
      <alignment vertical="top" indent="1"/>
    </xf>
    <xf numFmtId="0" fontId="35" fillId="4" borderId="3" xfId="0" applyFont="1" applyFill="1" applyBorder="1" applyAlignment="1">
      <alignment vertical="top" indent="1"/>
    </xf>
    <xf numFmtId="0" fontId="36" fillId="4" borderId="3" xfId="0" applyFont="1" applyFill="1" applyBorder="1" applyAlignment="1">
      <alignment vertical="top" indent="1"/>
    </xf>
    <xf numFmtId="0" fontId="37" fillId="4" borderId="3" xfId="0" applyFont="1" applyFill="1" applyBorder="1" applyAlignment="1">
      <alignment vertical="top" indent="1"/>
    </xf>
    <xf numFmtId="0" fontId="38" fillId="4" borderId="3" xfId="0" applyFont="1" applyFill="1" applyBorder="1" applyAlignment="1">
      <alignment vertical="top" indent="1"/>
    </xf>
    <xf numFmtId="0" fontId="39" fillId="4" borderId="3" xfId="0" applyFont="1" applyFill="1" applyBorder="1" applyAlignment="1">
      <alignment vertical="top" indent="1"/>
    </xf>
    <xf numFmtId="0" fontId="40" fillId="4" borderId="3" xfId="0" applyFont="1" applyFill="1" applyBorder="1" applyAlignment="1">
      <alignment vertical="top" indent="1"/>
    </xf>
    <xf numFmtId="0" fontId="41" fillId="4" borderId="3" xfId="0" applyFont="1" applyFill="1" applyBorder="1" applyAlignment="1">
      <alignment vertical="top" indent="1"/>
    </xf>
    <xf numFmtId="0" fontId="42" fillId="4" borderId="3" xfId="0" applyFont="1" applyFill="1" applyBorder="1" applyAlignment="1">
      <alignment vertical="top" indent="1"/>
    </xf>
    <xf numFmtId="0" fontId="43" fillId="4" borderId="3" xfId="0" applyFont="1" applyFill="1" applyBorder="1" applyAlignment="1">
      <alignment vertical="top" indent="1"/>
    </xf>
    <xf numFmtId="0" fontId="44" fillId="4" borderId="3" xfId="0" applyFont="1" applyFill="1" applyBorder="1" applyAlignment="1">
      <alignment vertical="top" indent="1"/>
    </xf>
    <xf numFmtId="0" fontId="45" fillId="3" borderId="3" xfId="0" applyFont="1" applyFill="1" applyBorder="1" applyAlignment="1">
      <alignment horizontal="left" vertical="top" indent="1"/>
    </xf>
    <xf numFmtId="0" fontId="46" fillId="4" borderId="3" xfId="0" applyFont="1" applyFill="1" applyBorder="1" applyAlignment="1">
      <alignment horizontal="left" vertical="top" indent="1"/>
    </xf>
  </cellXfs>
  <cellStyles count="2">
    <cellStyle name="Normal" xfId="0" builtinId="0"/>
    <cellStyle name="Normal 2" xfId="1" xr:uid="{00000000-0005-0000-0000-00000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3"/>
  <sheetViews>
    <sheetView showGridLines="0" tabSelected="1" workbookViewId="0">
      <selection activeCell="B510" sqref="B510"/>
    </sheetView>
  </sheetViews>
  <sheetFormatPr defaultRowHeight="14.4" x14ac:dyDescent="0.3"/>
  <cols>
    <col min="1" max="1" width="12.33203125" customWidth="1"/>
    <col min="2" max="2" width="43.33203125" customWidth="1"/>
    <col min="3" max="4" width="18.77734375" customWidth="1" collapsed="1"/>
    <col min="5" max="5" width="36.109375" customWidth="1"/>
    <col min="6" max="6" width="28.88671875" customWidth="1"/>
    <col min="7" max="7" width="18.109375" customWidth="1"/>
    <col min="8" max="8" width="14.44140625" customWidth="1"/>
    <col min="9" max="9" width="16.77734375" customWidth="1"/>
    <col min="10" max="10" width="15.21875" customWidth="1"/>
    <col min="11" max="11" width="26.88671875" customWidth="1"/>
    <col min="12" max="12" width="34.6640625" customWidth="1"/>
    <col min="13" max="14" width="26" customWidth="1"/>
    <col min="15" max="15" width="17.33203125" customWidth="1"/>
    <col min="16" max="16" width="23.88671875" customWidth="1"/>
    <col min="17" max="17" width="16.33203125" customWidth="1"/>
    <col min="18" max="18" width="18.77734375" customWidth="1"/>
    <col min="19" max="19" width="15.21875" customWidth="1"/>
    <col min="20" max="20" width="36.109375" customWidth="1"/>
    <col min="21" max="21" width="19.77734375" customWidth="1"/>
  </cols>
  <sheetData>
    <row r="1" spans="1:21" ht="34.950000000000003"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row>
    <row r="2" spans="1:21" x14ac:dyDescent="0.3">
      <c r="A2" s="4" t="s">
        <v>21</v>
      </c>
      <c r="B2" s="5" t="s">
        <v>22</v>
      </c>
      <c r="C2" s="6" t="s">
        <v>23</v>
      </c>
      <c r="D2" s="7" t="s">
        <v>24</v>
      </c>
      <c r="E2" s="8" t="s">
        <v>25</v>
      </c>
      <c r="F2" s="9" t="s">
        <v>26</v>
      </c>
      <c r="G2" s="10">
        <v>2</v>
      </c>
      <c r="H2" s="11">
        <v>176</v>
      </c>
      <c r="I2" s="12">
        <v>167</v>
      </c>
      <c r="J2" s="13" t="s">
        <v>27</v>
      </c>
      <c r="K2" s="14" t="s">
        <v>28</v>
      </c>
      <c r="L2" s="15" t="s">
        <v>29</v>
      </c>
      <c r="M2" s="16" t="s">
        <v>30</v>
      </c>
      <c r="N2" s="17" t="s">
        <v>31</v>
      </c>
      <c r="O2" s="18" t="s">
        <v>32</v>
      </c>
      <c r="P2" s="19" t="s">
        <v>33</v>
      </c>
      <c r="Q2" s="20" t="s">
        <v>34</v>
      </c>
      <c r="R2" s="21" t="s">
        <v>35</v>
      </c>
      <c r="S2" s="22" t="s">
        <v>36</v>
      </c>
      <c r="T2" s="23" t="s">
        <v>37</v>
      </c>
      <c r="U2" s="44" t="str">
        <f>HYPERLINK("https://my.pitchbook.com?p=36995-05P", "View people online")</f>
        <v>View people online</v>
      </c>
    </row>
    <row r="3" spans="1:21" x14ac:dyDescent="0.3">
      <c r="A3" s="24" t="s">
        <v>38</v>
      </c>
      <c r="B3" s="25" t="s">
        <v>39</v>
      </c>
      <c r="C3" s="26" t="s">
        <v>40</v>
      </c>
      <c r="D3" s="27" t="s">
        <v>41</v>
      </c>
      <c r="E3" s="28" t="s">
        <v>42</v>
      </c>
      <c r="F3" s="29" t="s">
        <v>43</v>
      </c>
      <c r="G3" s="30">
        <v>6</v>
      </c>
      <c r="H3" s="31">
        <v>108</v>
      </c>
      <c r="I3" s="32">
        <v>85</v>
      </c>
      <c r="J3" s="33" t="s">
        <v>44</v>
      </c>
      <c r="K3" s="34" t="s">
        <v>45</v>
      </c>
      <c r="L3" s="35" t="s">
        <v>46</v>
      </c>
      <c r="M3" s="36" t="s">
        <v>47</v>
      </c>
      <c r="N3" s="37" t="s">
        <v>48</v>
      </c>
      <c r="O3" s="38" t="s">
        <v>49</v>
      </c>
      <c r="P3" s="39" t="s">
        <v>50</v>
      </c>
      <c r="Q3" s="40" t="s">
        <v>51</v>
      </c>
      <c r="R3" s="41" t="s">
        <v>35</v>
      </c>
      <c r="S3" s="42" t="s">
        <v>36</v>
      </c>
      <c r="T3" s="43" t="s">
        <v>52</v>
      </c>
      <c r="U3" s="45" t="str">
        <f>HYPERLINK("https://my.pitchbook.com?p=11944-36P", "View people online")</f>
        <v>View people online</v>
      </c>
    </row>
    <row r="4" spans="1:21" x14ac:dyDescent="0.3">
      <c r="A4" s="4" t="s">
        <v>53</v>
      </c>
      <c r="B4" s="5" t="s">
        <v>54</v>
      </c>
      <c r="C4" s="6" t="s">
        <v>55</v>
      </c>
      <c r="D4" s="7" t="s">
        <v>56</v>
      </c>
      <c r="E4" s="8" t="s">
        <v>57</v>
      </c>
      <c r="F4" s="9" t="s">
        <v>58</v>
      </c>
      <c r="G4" s="10">
        <v>2</v>
      </c>
      <c r="H4" s="11">
        <v>102</v>
      </c>
      <c r="I4" s="12">
        <v>98</v>
      </c>
      <c r="J4" s="13" t="s">
        <v>36</v>
      </c>
      <c r="K4" s="14" t="s">
        <v>36</v>
      </c>
      <c r="L4" s="15" t="s">
        <v>59</v>
      </c>
      <c r="M4" s="16" t="s">
        <v>60</v>
      </c>
      <c r="N4" s="17" t="s">
        <v>61</v>
      </c>
      <c r="O4" s="18" t="s">
        <v>62</v>
      </c>
      <c r="P4" s="19" t="s">
        <v>63</v>
      </c>
      <c r="Q4" s="20" t="s">
        <v>64</v>
      </c>
      <c r="R4" s="21" t="s">
        <v>35</v>
      </c>
      <c r="S4" s="22" t="s">
        <v>36</v>
      </c>
      <c r="T4" s="23" t="s">
        <v>65</v>
      </c>
      <c r="U4" s="44" t="str">
        <f>HYPERLINK("https://my.pitchbook.com?p=39725-11P", "View people online")</f>
        <v>View people online</v>
      </c>
    </row>
    <row r="5" spans="1:21" x14ac:dyDescent="0.3">
      <c r="A5" s="24" t="s">
        <v>66</v>
      </c>
      <c r="B5" s="25" t="s">
        <v>67</v>
      </c>
      <c r="C5" s="26" t="s">
        <v>68</v>
      </c>
      <c r="D5" s="27" t="s">
        <v>69</v>
      </c>
      <c r="E5" s="28" t="s">
        <v>70</v>
      </c>
      <c r="F5" s="29" t="s">
        <v>71</v>
      </c>
      <c r="G5" s="30">
        <v>3</v>
      </c>
      <c r="H5" s="31">
        <v>65</v>
      </c>
      <c r="I5" s="32">
        <v>54</v>
      </c>
      <c r="J5" s="33" t="s">
        <v>72</v>
      </c>
      <c r="K5" s="34" t="s">
        <v>36</v>
      </c>
      <c r="L5" s="35" t="s">
        <v>73</v>
      </c>
      <c r="M5" s="36" t="s">
        <v>74</v>
      </c>
      <c r="N5" s="37" t="s">
        <v>75</v>
      </c>
      <c r="O5" s="38" t="s">
        <v>76</v>
      </c>
      <c r="P5" s="39" t="s">
        <v>77</v>
      </c>
      <c r="Q5" s="40" t="s">
        <v>78</v>
      </c>
      <c r="R5" s="41" t="s">
        <v>79</v>
      </c>
      <c r="S5" s="42" t="s">
        <v>80</v>
      </c>
      <c r="T5" s="43" t="s">
        <v>81</v>
      </c>
      <c r="U5" s="45" t="str">
        <f>HYPERLINK("https://my.pitchbook.com?p=12965-68P", "View people online")</f>
        <v>View people online</v>
      </c>
    </row>
    <row r="6" spans="1:21" x14ac:dyDescent="0.3">
      <c r="A6" s="4" t="s">
        <v>82</v>
      </c>
      <c r="B6" s="5" t="s">
        <v>83</v>
      </c>
      <c r="C6" s="6" t="s">
        <v>84</v>
      </c>
      <c r="D6" s="7" t="s">
        <v>85</v>
      </c>
      <c r="E6" s="8" t="s">
        <v>86</v>
      </c>
      <c r="F6" s="9" t="s">
        <v>87</v>
      </c>
      <c r="G6" s="10">
        <v>2</v>
      </c>
      <c r="H6" s="11">
        <v>49</v>
      </c>
      <c r="I6" s="12">
        <v>39</v>
      </c>
      <c r="J6" s="13" t="s">
        <v>88</v>
      </c>
      <c r="K6" s="14" t="s">
        <v>89</v>
      </c>
      <c r="L6" s="15" t="s">
        <v>90</v>
      </c>
      <c r="M6" s="16" t="s">
        <v>91</v>
      </c>
      <c r="N6" s="17" t="s">
        <v>36</v>
      </c>
      <c r="O6" s="18" t="s">
        <v>92</v>
      </c>
      <c r="P6" s="19" t="s">
        <v>50</v>
      </c>
      <c r="Q6" s="20" t="s">
        <v>93</v>
      </c>
      <c r="R6" s="21" t="s">
        <v>35</v>
      </c>
      <c r="S6" s="22" t="s">
        <v>36</v>
      </c>
      <c r="T6" s="23" t="s">
        <v>94</v>
      </c>
      <c r="U6" s="44" t="str">
        <f>HYPERLINK("https://my.pitchbook.com?p=43980-76P", "View people online")</f>
        <v>View people online</v>
      </c>
    </row>
    <row r="7" spans="1:21" x14ac:dyDescent="0.3">
      <c r="A7" s="24" t="s">
        <v>95</v>
      </c>
      <c r="B7" s="25" t="s">
        <v>96</v>
      </c>
      <c r="C7" s="26" t="s">
        <v>97</v>
      </c>
      <c r="D7" s="27" t="s">
        <v>98</v>
      </c>
      <c r="E7" s="28" t="s">
        <v>99</v>
      </c>
      <c r="F7" s="29" t="s">
        <v>100</v>
      </c>
      <c r="G7" s="30">
        <v>10</v>
      </c>
      <c r="H7" s="31">
        <v>41</v>
      </c>
      <c r="I7" s="32">
        <v>25</v>
      </c>
      <c r="J7" s="33" t="s">
        <v>101</v>
      </c>
      <c r="K7" s="34" t="s">
        <v>102</v>
      </c>
      <c r="L7" s="35" t="s">
        <v>103</v>
      </c>
      <c r="M7" s="36" t="s">
        <v>104</v>
      </c>
      <c r="N7" s="37" t="s">
        <v>36</v>
      </c>
      <c r="O7" s="38" t="s">
        <v>105</v>
      </c>
      <c r="P7" s="39" t="s">
        <v>106</v>
      </c>
      <c r="Q7" s="40" t="s">
        <v>107</v>
      </c>
      <c r="R7" s="41" t="s">
        <v>35</v>
      </c>
      <c r="S7" s="42" t="s">
        <v>36</v>
      </c>
      <c r="T7" s="43" t="s">
        <v>108</v>
      </c>
      <c r="U7" s="45" t="str">
        <f>HYPERLINK("https://my.pitchbook.com?p=13957-84P", "View people online")</f>
        <v>View people online</v>
      </c>
    </row>
    <row r="8" spans="1:21" x14ac:dyDescent="0.3">
      <c r="A8" s="4" t="s">
        <v>109</v>
      </c>
      <c r="B8" s="5" t="s">
        <v>110</v>
      </c>
      <c r="C8" s="6" t="s">
        <v>111</v>
      </c>
      <c r="D8" s="7" t="s">
        <v>112</v>
      </c>
      <c r="E8" s="8" t="s">
        <v>113</v>
      </c>
      <c r="F8" s="9" t="s">
        <v>114</v>
      </c>
      <c r="G8" s="10">
        <v>5</v>
      </c>
      <c r="H8" s="11">
        <v>37</v>
      </c>
      <c r="I8" s="12">
        <v>26</v>
      </c>
      <c r="J8" s="13" t="s">
        <v>115</v>
      </c>
      <c r="K8" s="14" t="s">
        <v>116</v>
      </c>
      <c r="L8" s="15" t="s">
        <v>117</v>
      </c>
      <c r="M8" s="16" t="s">
        <v>118</v>
      </c>
      <c r="N8" s="17" t="s">
        <v>119</v>
      </c>
      <c r="O8" s="18" t="s">
        <v>120</v>
      </c>
      <c r="P8" s="19" t="s">
        <v>36</v>
      </c>
      <c r="Q8" s="20" t="s">
        <v>121</v>
      </c>
      <c r="R8" s="21" t="s">
        <v>122</v>
      </c>
      <c r="S8" s="22" t="s">
        <v>36</v>
      </c>
      <c r="T8" s="23" t="s">
        <v>123</v>
      </c>
      <c r="U8" s="44" t="str">
        <f>HYPERLINK("https://my.pitchbook.com?p=44182-45P", "View people online")</f>
        <v>View people online</v>
      </c>
    </row>
    <row r="9" spans="1:21" x14ac:dyDescent="0.3">
      <c r="A9" s="24" t="s">
        <v>124</v>
      </c>
      <c r="B9" s="25" t="s">
        <v>125</v>
      </c>
      <c r="C9" s="26" t="s">
        <v>126</v>
      </c>
      <c r="D9" s="27" t="s">
        <v>127</v>
      </c>
      <c r="E9" s="28" t="s">
        <v>128</v>
      </c>
      <c r="F9" s="29" t="s">
        <v>129</v>
      </c>
      <c r="G9" s="30" t="s">
        <v>36</v>
      </c>
      <c r="H9" s="31">
        <v>37</v>
      </c>
      <c r="I9" s="32">
        <v>29</v>
      </c>
      <c r="J9" s="33" t="s">
        <v>36</v>
      </c>
      <c r="K9" s="34" t="s">
        <v>130</v>
      </c>
      <c r="L9" s="35" t="s">
        <v>131</v>
      </c>
      <c r="M9" s="36" t="s">
        <v>132</v>
      </c>
      <c r="N9" s="37" t="s">
        <v>36</v>
      </c>
      <c r="O9" s="38" t="s">
        <v>133</v>
      </c>
      <c r="P9" s="39" t="s">
        <v>50</v>
      </c>
      <c r="Q9" s="40" t="s">
        <v>134</v>
      </c>
      <c r="R9" s="41" t="s">
        <v>35</v>
      </c>
      <c r="S9" s="42" t="s">
        <v>36</v>
      </c>
      <c r="T9" s="43" t="s">
        <v>135</v>
      </c>
      <c r="U9" s="45" t="str">
        <f>HYPERLINK("https://my.pitchbook.com?p=95157-46P", "View people online")</f>
        <v>View people online</v>
      </c>
    </row>
    <row r="10" spans="1:21" x14ac:dyDescent="0.3">
      <c r="A10" s="4" t="s">
        <v>136</v>
      </c>
      <c r="B10" s="5" t="s">
        <v>137</v>
      </c>
      <c r="C10" s="6" t="s">
        <v>138</v>
      </c>
      <c r="D10" s="7" t="s">
        <v>139</v>
      </c>
      <c r="E10" s="8" t="s">
        <v>140</v>
      </c>
      <c r="F10" s="9" t="s">
        <v>141</v>
      </c>
      <c r="G10" s="10">
        <v>7</v>
      </c>
      <c r="H10" s="11">
        <v>33</v>
      </c>
      <c r="I10" s="12">
        <v>24</v>
      </c>
      <c r="J10" s="13" t="s">
        <v>142</v>
      </c>
      <c r="K10" s="14" t="s">
        <v>143</v>
      </c>
      <c r="L10" s="15" t="s">
        <v>144</v>
      </c>
      <c r="M10" s="16" t="s">
        <v>145</v>
      </c>
      <c r="N10" s="17" t="s">
        <v>48</v>
      </c>
      <c r="O10" s="18" t="s">
        <v>146</v>
      </c>
      <c r="P10" s="19" t="s">
        <v>50</v>
      </c>
      <c r="Q10" s="20" t="s">
        <v>147</v>
      </c>
      <c r="R10" s="21" t="s">
        <v>35</v>
      </c>
      <c r="S10" s="22" t="s">
        <v>36</v>
      </c>
      <c r="T10" s="23" t="s">
        <v>148</v>
      </c>
      <c r="U10" s="44" t="str">
        <f>HYPERLINK("https://my.pitchbook.com?p=36088-30P", "View people online")</f>
        <v>View people online</v>
      </c>
    </row>
    <row r="11" spans="1:21" x14ac:dyDescent="0.3">
      <c r="A11" s="24" t="s">
        <v>149</v>
      </c>
      <c r="B11" s="25" t="s">
        <v>150</v>
      </c>
      <c r="C11" s="26" t="s">
        <v>151</v>
      </c>
      <c r="D11" s="27" t="s">
        <v>152</v>
      </c>
      <c r="E11" s="28" t="s">
        <v>153</v>
      </c>
      <c r="F11" s="29" t="s">
        <v>154</v>
      </c>
      <c r="G11" s="30">
        <v>6</v>
      </c>
      <c r="H11" s="31">
        <v>32</v>
      </c>
      <c r="I11" s="32">
        <v>17</v>
      </c>
      <c r="J11" s="33" t="s">
        <v>155</v>
      </c>
      <c r="K11" s="34" t="s">
        <v>156</v>
      </c>
      <c r="L11" s="35" t="s">
        <v>157</v>
      </c>
      <c r="M11" s="36" t="s">
        <v>158</v>
      </c>
      <c r="N11" s="37" t="s">
        <v>36</v>
      </c>
      <c r="O11" s="38" t="s">
        <v>159</v>
      </c>
      <c r="P11" s="39" t="s">
        <v>50</v>
      </c>
      <c r="Q11" s="40" t="s">
        <v>160</v>
      </c>
      <c r="R11" s="41" t="s">
        <v>35</v>
      </c>
      <c r="S11" s="42" t="s">
        <v>36</v>
      </c>
      <c r="T11" s="43" t="s">
        <v>161</v>
      </c>
      <c r="U11" s="45" t="str">
        <f>HYPERLINK("https://my.pitchbook.com?p=54440-02P", "View people online")</f>
        <v>View people online</v>
      </c>
    </row>
    <row r="12" spans="1:21" x14ac:dyDescent="0.3">
      <c r="A12" s="4" t="s">
        <v>162</v>
      </c>
      <c r="B12" s="5" t="s">
        <v>163</v>
      </c>
      <c r="C12" s="6" t="s">
        <v>164</v>
      </c>
      <c r="D12" s="7" t="s">
        <v>165</v>
      </c>
      <c r="E12" s="8" t="s">
        <v>166</v>
      </c>
      <c r="F12" s="9" t="s">
        <v>167</v>
      </c>
      <c r="G12" s="10">
        <v>6</v>
      </c>
      <c r="H12" s="11">
        <v>31</v>
      </c>
      <c r="I12" s="12">
        <v>14</v>
      </c>
      <c r="J12" s="13" t="s">
        <v>36</v>
      </c>
      <c r="K12" s="14" t="s">
        <v>168</v>
      </c>
      <c r="L12" s="15" t="s">
        <v>169</v>
      </c>
      <c r="M12" s="16" t="s">
        <v>170</v>
      </c>
      <c r="N12" s="17" t="s">
        <v>171</v>
      </c>
      <c r="O12" s="18" t="s">
        <v>172</v>
      </c>
      <c r="P12" s="19" t="s">
        <v>50</v>
      </c>
      <c r="Q12" s="20" t="s">
        <v>173</v>
      </c>
      <c r="R12" s="21" t="s">
        <v>35</v>
      </c>
      <c r="S12" s="22" t="s">
        <v>36</v>
      </c>
      <c r="T12" s="23" t="s">
        <v>174</v>
      </c>
      <c r="U12" s="44" t="str">
        <f>HYPERLINK("https://my.pitchbook.com?p=35302-87P", "View people online")</f>
        <v>View people online</v>
      </c>
    </row>
    <row r="13" spans="1:21" x14ac:dyDescent="0.3">
      <c r="A13" s="24" t="s">
        <v>175</v>
      </c>
      <c r="B13" s="25" t="s">
        <v>176</v>
      </c>
      <c r="C13" s="26" t="s">
        <v>177</v>
      </c>
      <c r="D13" s="27" t="s">
        <v>178</v>
      </c>
      <c r="E13" s="28" t="s">
        <v>179</v>
      </c>
      <c r="F13" s="29" t="s">
        <v>180</v>
      </c>
      <c r="G13" s="30">
        <v>3</v>
      </c>
      <c r="H13" s="31">
        <v>31</v>
      </c>
      <c r="I13" s="32">
        <v>21</v>
      </c>
      <c r="J13" s="33" t="s">
        <v>181</v>
      </c>
      <c r="K13" s="34" t="s">
        <v>182</v>
      </c>
      <c r="L13" s="35" t="s">
        <v>183</v>
      </c>
      <c r="M13" s="36" t="s">
        <v>184</v>
      </c>
      <c r="N13" s="37" t="s">
        <v>185</v>
      </c>
      <c r="O13" s="38" t="s">
        <v>186</v>
      </c>
      <c r="P13" s="39" t="s">
        <v>50</v>
      </c>
      <c r="Q13" s="40" t="s">
        <v>187</v>
      </c>
      <c r="R13" s="41" t="s">
        <v>35</v>
      </c>
      <c r="S13" s="42" t="s">
        <v>188</v>
      </c>
      <c r="T13" s="43" t="s">
        <v>189</v>
      </c>
      <c r="U13" s="45" t="str">
        <f>HYPERLINK("https://my.pitchbook.com?p=12472-84P", "View people online")</f>
        <v>View people online</v>
      </c>
    </row>
    <row r="14" spans="1:21" x14ac:dyDescent="0.3">
      <c r="A14" s="4" t="s">
        <v>190</v>
      </c>
      <c r="B14" s="5" t="s">
        <v>191</v>
      </c>
      <c r="C14" s="6" t="s">
        <v>192</v>
      </c>
      <c r="D14" s="7" t="s">
        <v>193</v>
      </c>
      <c r="E14" s="8" t="s">
        <v>140</v>
      </c>
      <c r="F14" s="9" t="s">
        <v>194</v>
      </c>
      <c r="G14" s="10">
        <v>3</v>
      </c>
      <c r="H14" s="11">
        <v>30</v>
      </c>
      <c r="I14" s="12">
        <v>25</v>
      </c>
      <c r="J14" s="13" t="s">
        <v>195</v>
      </c>
      <c r="K14" s="14" t="s">
        <v>36</v>
      </c>
      <c r="L14" s="15" t="s">
        <v>196</v>
      </c>
      <c r="M14" s="16" t="s">
        <v>197</v>
      </c>
      <c r="N14" s="17" t="s">
        <v>36</v>
      </c>
      <c r="O14" s="18" t="s">
        <v>198</v>
      </c>
      <c r="P14" s="19" t="s">
        <v>199</v>
      </c>
      <c r="Q14" s="20" t="s">
        <v>200</v>
      </c>
      <c r="R14" s="21" t="s">
        <v>35</v>
      </c>
      <c r="S14" s="22" t="s">
        <v>36</v>
      </c>
      <c r="T14" s="23" t="s">
        <v>201</v>
      </c>
      <c r="U14" s="44" t="str">
        <f>HYPERLINK("https://my.pitchbook.com?p=36373-69P", "View people online")</f>
        <v>View people online</v>
      </c>
    </row>
    <row r="15" spans="1:21" x14ac:dyDescent="0.3">
      <c r="A15" s="24" t="s">
        <v>202</v>
      </c>
      <c r="B15" s="25" t="s">
        <v>203</v>
      </c>
      <c r="C15" s="26" t="s">
        <v>204</v>
      </c>
      <c r="D15" s="27" t="s">
        <v>205</v>
      </c>
      <c r="E15" s="28" t="s">
        <v>206</v>
      </c>
      <c r="F15" s="29" t="s">
        <v>207</v>
      </c>
      <c r="G15" s="30">
        <v>7</v>
      </c>
      <c r="H15" s="31">
        <v>29</v>
      </c>
      <c r="I15" s="32">
        <v>18</v>
      </c>
      <c r="J15" s="33" t="s">
        <v>208</v>
      </c>
      <c r="K15" s="34" t="s">
        <v>209</v>
      </c>
      <c r="L15" s="35" t="s">
        <v>210</v>
      </c>
      <c r="M15" s="36" t="s">
        <v>211</v>
      </c>
      <c r="N15" s="37" t="s">
        <v>212</v>
      </c>
      <c r="O15" s="38" t="s">
        <v>213</v>
      </c>
      <c r="P15" s="39" t="s">
        <v>50</v>
      </c>
      <c r="Q15" s="40" t="s">
        <v>214</v>
      </c>
      <c r="R15" s="41" t="s">
        <v>35</v>
      </c>
      <c r="S15" s="42" t="s">
        <v>36</v>
      </c>
      <c r="T15" s="43" t="s">
        <v>215</v>
      </c>
      <c r="U15" s="45" t="str">
        <f>HYPERLINK("https://my.pitchbook.com?p=40496-95P", "View people online")</f>
        <v>View people online</v>
      </c>
    </row>
    <row r="16" spans="1:21" x14ac:dyDescent="0.3">
      <c r="A16" s="4" t="s">
        <v>216</v>
      </c>
      <c r="B16" s="5" t="s">
        <v>217</v>
      </c>
      <c r="C16" s="6" t="s">
        <v>218</v>
      </c>
      <c r="D16" s="7" t="s">
        <v>219</v>
      </c>
      <c r="E16" s="8" t="s">
        <v>220</v>
      </c>
      <c r="F16" s="9" t="s">
        <v>221</v>
      </c>
      <c r="G16" s="10">
        <v>3</v>
      </c>
      <c r="H16" s="11">
        <v>24</v>
      </c>
      <c r="I16" s="12">
        <v>15</v>
      </c>
      <c r="J16" s="13" t="s">
        <v>222</v>
      </c>
      <c r="K16" s="14" t="s">
        <v>223</v>
      </c>
      <c r="L16" s="15" t="s">
        <v>224</v>
      </c>
      <c r="M16" s="16" t="s">
        <v>225</v>
      </c>
      <c r="N16" s="17" t="s">
        <v>48</v>
      </c>
      <c r="O16" s="18" t="s">
        <v>226</v>
      </c>
      <c r="P16" s="19" t="s">
        <v>50</v>
      </c>
      <c r="Q16" s="20" t="s">
        <v>227</v>
      </c>
      <c r="R16" s="21" t="s">
        <v>35</v>
      </c>
      <c r="S16" s="22" t="s">
        <v>36</v>
      </c>
      <c r="T16" s="23" t="s">
        <v>228</v>
      </c>
      <c r="U16" s="44" t="str">
        <f>HYPERLINK("https://my.pitchbook.com?p=16180-12P", "View people online")</f>
        <v>View people online</v>
      </c>
    </row>
    <row r="17" spans="1:21" x14ac:dyDescent="0.3">
      <c r="A17" s="24" t="s">
        <v>229</v>
      </c>
      <c r="B17" s="25" t="s">
        <v>230</v>
      </c>
      <c r="C17" s="26" t="s">
        <v>231</v>
      </c>
      <c r="D17" s="27" t="s">
        <v>232</v>
      </c>
      <c r="E17" s="28" t="s">
        <v>128</v>
      </c>
      <c r="F17" s="29" t="s">
        <v>233</v>
      </c>
      <c r="G17" s="30">
        <v>3</v>
      </c>
      <c r="H17" s="31">
        <v>24</v>
      </c>
      <c r="I17" s="32">
        <v>17</v>
      </c>
      <c r="J17" s="33" t="s">
        <v>234</v>
      </c>
      <c r="K17" s="34" t="s">
        <v>235</v>
      </c>
      <c r="L17" s="35" t="s">
        <v>236</v>
      </c>
      <c r="M17" s="36" t="s">
        <v>237</v>
      </c>
      <c r="N17" s="37" t="s">
        <v>238</v>
      </c>
      <c r="O17" s="38" t="s">
        <v>239</v>
      </c>
      <c r="P17" s="39" t="s">
        <v>240</v>
      </c>
      <c r="Q17" s="40" t="s">
        <v>241</v>
      </c>
      <c r="R17" s="41" t="s">
        <v>35</v>
      </c>
      <c r="S17" s="42" t="s">
        <v>242</v>
      </c>
      <c r="T17" s="43" t="s">
        <v>243</v>
      </c>
      <c r="U17" s="45" t="str">
        <f>HYPERLINK("https://my.pitchbook.com?p=37033-03P", "View people online")</f>
        <v>View people online</v>
      </c>
    </row>
    <row r="18" spans="1:21" x14ac:dyDescent="0.3">
      <c r="A18" s="4" t="s">
        <v>244</v>
      </c>
      <c r="B18" s="5" t="s">
        <v>245</v>
      </c>
      <c r="C18" s="6" t="s">
        <v>246</v>
      </c>
      <c r="D18" s="7" t="s">
        <v>247</v>
      </c>
      <c r="E18" s="8" t="s">
        <v>248</v>
      </c>
      <c r="F18" s="9" t="s">
        <v>249</v>
      </c>
      <c r="G18" s="10">
        <v>2</v>
      </c>
      <c r="H18" s="11">
        <v>23</v>
      </c>
      <c r="I18" s="12">
        <v>16</v>
      </c>
      <c r="J18" s="13" t="s">
        <v>36</v>
      </c>
      <c r="K18" s="14" t="s">
        <v>36</v>
      </c>
      <c r="L18" s="15" t="s">
        <v>250</v>
      </c>
      <c r="M18" s="16" t="s">
        <v>251</v>
      </c>
      <c r="N18" s="17" t="s">
        <v>252</v>
      </c>
      <c r="O18" s="18" t="s">
        <v>253</v>
      </c>
      <c r="P18" s="19" t="s">
        <v>50</v>
      </c>
      <c r="Q18" s="20" t="s">
        <v>254</v>
      </c>
      <c r="R18" s="21" t="s">
        <v>35</v>
      </c>
      <c r="S18" s="22" t="s">
        <v>36</v>
      </c>
      <c r="T18" s="23" t="s">
        <v>255</v>
      </c>
      <c r="U18" s="44" t="str">
        <f>HYPERLINK("https://my.pitchbook.com?p=14242-69P", "View people online")</f>
        <v>View people online</v>
      </c>
    </row>
    <row r="19" spans="1:21" x14ac:dyDescent="0.3">
      <c r="A19" s="24" t="s">
        <v>256</v>
      </c>
      <c r="B19" s="25" t="s">
        <v>257</v>
      </c>
      <c r="C19" s="26" t="s">
        <v>258</v>
      </c>
      <c r="D19" s="27" t="s">
        <v>259</v>
      </c>
      <c r="E19" s="28" t="s">
        <v>260</v>
      </c>
      <c r="F19" s="29" t="s">
        <v>261</v>
      </c>
      <c r="G19" s="30">
        <v>7</v>
      </c>
      <c r="H19" s="31">
        <v>22</v>
      </c>
      <c r="I19" s="32">
        <v>11</v>
      </c>
      <c r="J19" s="33" t="s">
        <v>262</v>
      </c>
      <c r="K19" s="34" t="s">
        <v>263</v>
      </c>
      <c r="L19" s="35" t="s">
        <v>183</v>
      </c>
      <c r="M19" s="36" t="s">
        <v>264</v>
      </c>
      <c r="N19" s="37" t="s">
        <v>265</v>
      </c>
      <c r="O19" s="38" t="s">
        <v>186</v>
      </c>
      <c r="P19" s="39" t="s">
        <v>50</v>
      </c>
      <c r="Q19" s="40" t="s">
        <v>266</v>
      </c>
      <c r="R19" s="41" t="s">
        <v>35</v>
      </c>
      <c r="S19" s="42" t="s">
        <v>36</v>
      </c>
      <c r="T19" s="43" t="s">
        <v>267</v>
      </c>
      <c r="U19" s="45" t="str">
        <f>HYPERLINK("https://my.pitchbook.com?p=32589-64P", "View people online")</f>
        <v>View people online</v>
      </c>
    </row>
    <row r="20" spans="1:21" x14ac:dyDescent="0.3">
      <c r="A20" s="4" t="s">
        <v>268</v>
      </c>
      <c r="B20" s="5" t="s">
        <v>269</v>
      </c>
      <c r="C20" s="6" t="s">
        <v>270</v>
      </c>
      <c r="D20" s="7" t="s">
        <v>271</v>
      </c>
      <c r="E20" s="8" t="s">
        <v>272</v>
      </c>
      <c r="F20" s="9" t="s">
        <v>273</v>
      </c>
      <c r="G20" s="10">
        <v>5</v>
      </c>
      <c r="H20" s="11">
        <v>21</v>
      </c>
      <c r="I20" s="12">
        <v>10</v>
      </c>
      <c r="J20" s="13" t="s">
        <v>274</v>
      </c>
      <c r="K20" s="14" t="s">
        <v>275</v>
      </c>
      <c r="L20" s="15" t="s">
        <v>183</v>
      </c>
      <c r="M20" s="16" t="s">
        <v>276</v>
      </c>
      <c r="N20" s="17" t="s">
        <v>277</v>
      </c>
      <c r="O20" s="18" t="s">
        <v>186</v>
      </c>
      <c r="P20" s="19" t="s">
        <v>50</v>
      </c>
      <c r="Q20" s="20" t="s">
        <v>278</v>
      </c>
      <c r="R20" s="21" t="s">
        <v>35</v>
      </c>
      <c r="S20" s="22" t="s">
        <v>36</v>
      </c>
      <c r="T20" s="23" t="s">
        <v>279</v>
      </c>
      <c r="U20" s="44" t="str">
        <f>HYPERLINK("https://my.pitchbook.com?p=45360-82P", "View people online")</f>
        <v>View people online</v>
      </c>
    </row>
    <row r="21" spans="1:21" x14ac:dyDescent="0.3">
      <c r="A21" s="24" t="s">
        <v>280</v>
      </c>
      <c r="B21" s="25" t="s">
        <v>281</v>
      </c>
      <c r="C21" s="26" t="s">
        <v>282</v>
      </c>
      <c r="D21" s="27" t="s">
        <v>98</v>
      </c>
      <c r="E21" s="28" t="s">
        <v>283</v>
      </c>
      <c r="F21" s="29" t="s">
        <v>284</v>
      </c>
      <c r="G21" s="30">
        <v>4</v>
      </c>
      <c r="H21" s="31">
        <v>21</v>
      </c>
      <c r="I21" s="32">
        <v>16</v>
      </c>
      <c r="J21" s="33" t="s">
        <v>36</v>
      </c>
      <c r="K21" s="34" t="s">
        <v>285</v>
      </c>
      <c r="L21" s="35" t="s">
        <v>183</v>
      </c>
      <c r="M21" s="36" t="s">
        <v>286</v>
      </c>
      <c r="N21" s="37" t="s">
        <v>287</v>
      </c>
      <c r="O21" s="38" t="s">
        <v>186</v>
      </c>
      <c r="P21" s="39" t="s">
        <v>50</v>
      </c>
      <c r="Q21" s="40" t="s">
        <v>266</v>
      </c>
      <c r="R21" s="41" t="s">
        <v>35</v>
      </c>
      <c r="S21" s="42" t="s">
        <v>36</v>
      </c>
      <c r="T21" s="43" t="s">
        <v>288</v>
      </c>
      <c r="U21" s="45" t="str">
        <f>HYPERLINK("https://my.pitchbook.com?p=35288-02P", "View people online")</f>
        <v>View people online</v>
      </c>
    </row>
    <row r="22" spans="1:21" x14ac:dyDescent="0.3">
      <c r="A22" s="4" t="s">
        <v>289</v>
      </c>
      <c r="B22" s="5" t="s">
        <v>290</v>
      </c>
      <c r="C22" s="6" t="s">
        <v>291</v>
      </c>
      <c r="D22" s="7" t="s">
        <v>193</v>
      </c>
      <c r="E22" s="8" t="s">
        <v>179</v>
      </c>
      <c r="F22" s="9" t="s">
        <v>292</v>
      </c>
      <c r="G22" s="10">
        <v>3</v>
      </c>
      <c r="H22" s="11">
        <v>19</v>
      </c>
      <c r="I22" s="12">
        <v>14</v>
      </c>
      <c r="J22" s="13" t="s">
        <v>293</v>
      </c>
      <c r="K22" s="14" t="s">
        <v>294</v>
      </c>
      <c r="L22" s="15" t="s">
        <v>295</v>
      </c>
      <c r="M22" s="16" t="s">
        <v>296</v>
      </c>
      <c r="N22" s="17" t="s">
        <v>297</v>
      </c>
      <c r="O22" s="18" t="s">
        <v>298</v>
      </c>
      <c r="P22" s="19" t="s">
        <v>50</v>
      </c>
      <c r="Q22" s="20" t="s">
        <v>299</v>
      </c>
      <c r="R22" s="21" t="s">
        <v>35</v>
      </c>
      <c r="S22" s="22" t="s">
        <v>36</v>
      </c>
      <c r="T22" s="23" t="s">
        <v>300</v>
      </c>
      <c r="U22" s="44" t="str">
        <f>HYPERLINK("https://my.pitchbook.com?p=11612-35P", "View people online")</f>
        <v>View people online</v>
      </c>
    </row>
    <row r="23" spans="1:21" x14ac:dyDescent="0.3">
      <c r="A23" s="24" t="s">
        <v>301</v>
      </c>
      <c r="B23" s="25" t="s">
        <v>302</v>
      </c>
      <c r="C23" s="26" t="s">
        <v>303</v>
      </c>
      <c r="D23" s="27" t="s">
        <v>205</v>
      </c>
      <c r="E23" s="28" t="s">
        <v>86</v>
      </c>
      <c r="F23" s="29" t="s">
        <v>304</v>
      </c>
      <c r="G23" s="30">
        <v>2</v>
      </c>
      <c r="H23" s="31">
        <v>19</v>
      </c>
      <c r="I23" s="32">
        <v>10</v>
      </c>
      <c r="J23" s="33" t="s">
        <v>36</v>
      </c>
      <c r="K23" s="34" t="s">
        <v>305</v>
      </c>
      <c r="L23" s="35" t="s">
        <v>183</v>
      </c>
      <c r="M23" s="36" t="s">
        <v>306</v>
      </c>
      <c r="N23" s="37" t="s">
        <v>307</v>
      </c>
      <c r="O23" s="38" t="s">
        <v>186</v>
      </c>
      <c r="P23" s="39" t="s">
        <v>50</v>
      </c>
      <c r="Q23" s="40" t="s">
        <v>308</v>
      </c>
      <c r="R23" s="41" t="s">
        <v>35</v>
      </c>
      <c r="S23" s="42" t="s">
        <v>36</v>
      </c>
      <c r="T23" s="43" t="s">
        <v>309</v>
      </c>
      <c r="U23" s="45" t="str">
        <f>HYPERLINK("https://my.pitchbook.com?p=36399-61P", "View people online")</f>
        <v>View people online</v>
      </c>
    </row>
    <row r="24" spans="1:21" x14ac:dyDescent="0.3">
      <c r="A24" s="4" t="s">
        <v>310</v>
      </c>
      <c r="B24" s="5" t="s">
        <v>311</v>
      </c>
      <c r="C24" s="6" t="s">
        <v>312</v>
      </c>
      <c r="D24" s="7" t="s">
        <v>313</v>
      </c>
      <c r="E24" s="8" t="s">
        <v>314</v>
      </c>
      <c r="F24" s="9" t="s">
        <v>315</v>
      </c>
      <c r="G24" s="10">
        <v>9</v>
      </c>
      <c r="H24" s="11">
        <v>18</v>
      </c>
      <c r="I24" s="12">
        <v>7</v>
      </c>
      <c r="J24" s="13" t="s">
        <v>316</v>
      </c>
      <c r="K24" s="14" t="s">
        <v>317</v>
      </c>
      <c r="L24" s="15" t="s">
        <v>318</v>
      </c>
      <c r="M24" s="16" t="s">
        <v>319</v>
      </c>
      <c r="N24" s="17" t="s">
        <v>320</v>
      </c>
      <c r="O24" s="18" t="s">
        <v>321</v>
      </c>
      <c r="P24" s="19" t="s">
        <v>50</v>
      </c>
      <c r="Q24" s="20" t="s">
        <v>322</v>
      </c>
      <c r="R24" s="21" t="s">
        <v>35</v>
      </c>
      <c r="S24" s="22" t="s">
        <v>36</v>
      </c>
      <c r="T24" s="23" t="s">
        <v>323</v>
      </c>
      <c r="U24" s="44" t="str">
        <f>HYPERLINK("https://my.pitchbook.com?p=42715-00P", "View people online")</f>
        <v>View people online</v>
      </c>
    </row>
    <row r="25" spans="1:21" x14ac:dyDescent="0.3">
      <c r="A25" s="24" t="s">
        <v>324</v>
      </c>
      <c r="B25" s="25" t="s">
        <v>325</v>
      </c>
      <c r="C25" s="26" t="s">
        <v>326</v>
      </c>
      <c r="D25" s="27" t="s">
        <v>327</v>
      </c>
      <c r="E25" s="28" t="s">
        <v>328</v>
      </c>
      <c r="F25" s="29" t="s">
        <v>329</v>
      </c>
      <c r="G25" s="30">
        <v>5</v>
      </c>
      <c r="H25" s="31">
        <v>17</v>
      </c>
      <c r="I25" s="32">
        <v>10</v>
      </c>
      <c r="J25" s="33" t="s">
        <v>330</v>
      </c>
      <c r="K25" s="34" t="s">
        <v>331</v>
      </c>
      <c r="L25" s="35" t="s">
        <v>250</v>
      </c>
      <c r="M25" s="36" t="s">
        <v>332</v>
      </c>
      <c r="N25" s="37" t="s">
        <v>333</v>
      </c>
      <c r="O25" s="38" t="s">
        <v>253</v>
      </c>
      <c r="P25" s="39" t="s">
        <v>50</v>
      </c>
      <c r="Q25" s="40" t="s">
        <v>334</v>
      </c>
      <c r="R25" s="41" t="s">
        <v>35</v>
      </c>
      <c r="S25" s="42" t="s">
        <v>36</v>
      </c>
      <c r="T25" s="43" t="s">
        <v>335</v>
      </c>
      <c r="U25" s="45" t="str">
        <f>HYPERLINK("https://my.pitchbook.com?p=13968-10P", "View people online")</f>
        <v>View people online</v>
      </c>
    </row>
    <row r="26" spans="1:21" x14ac:dyDescent="0.3">
      <c r="A26" s="4" t="s">
        <v>336</v>
      </c>
      <c r="B26" s="5" t="s">
        <v>337</v>
      </c>
      <c r="C26" s="6" t="s">
        <v>338</v>
      </c>
      <c r="D26" s="7" t="s">
        <v>339</v>
      </c>
      <c r="E26" s="8" t="s">
        <v>340</v>
      </c>
      <c r="F26" s="9" t="s">
        <v>341</v>
      </c>
      <c r="G26" s="10">
        <v>8</v>
      </c>
      <c r="H26" s="11">
        <v>17</v>
      </c>
      <c r="I26" s="12">
        <v>8</v>
      </c>
      <c r="J26" s="13" t="s">
        <v>342</v>
      </c>
      <c r="K26" s="14" t="s">
        <v>343</v>
      </c>
      <c r="L26" s="15" t="s">
        <v>344</v>
      </c>
      <c r="M26" s="16" t="s">
        <v>345</v>
      </c>
      <c r="N26" s="17" t="s">
        <v>346</v>
      </c>
      <c r="O26" s="18" t="s">
        <v>347</v>
      </c>
      <c r="P26" s="19" t="s">
        <v>50</v>
      </c>
      <c r="Q26" s="20" t="s">
        <v>348</v>
      </c>
      <c r="R26" s="21" t="s">
        <v>35</v>
      </c>
      <c r="S26" s="22" t="s">
        <v>36</v>
      </c>
      <c r="T26" s="23" t="s">
        <v>349</v>
      </c>
      <c r="U26" s="44" t="str">
        <f>HYPERLINK("https://my.pitchbook.com?p=41447-35P", "View people online")</f>
        <v>View people online</v>
      </c>
    </row>
    <row r="27" spans="1:21" x14ac:dyDescent="0.3">
      <c r="A27" s="24" t="s">
        <v>350</v>
      </c>
      <c r="B27" s="25" t="s">
        <v>351</v>
      </c>
      <c r="C27" s="26" t="s">
        <v>352</v>
      </c>
      <c r="D27" s="27" t="s">
        <v>353</v>
      </c>
      <c r="E27" s="28" t="s">
        <v>354</v>
      </c>
      <c r="F27" s="29" t="s">
        <v>355</v>
      </c>
      <c r="G27" s="30">
        <v>4</v>
      </c>
      <c r="H27" s="31">
        <v>14</v>
      </c>
      <c r="I27" s="32">
        <v>5</v>
      </c>
      <c r="J27" s="33" t="s">
        <v>36</v>
      </c>
      <c r="K27" s="34" t="s">
        <v>356</v>
      </c>
      <c r="L27" s="35" t="s">
        <v>224</v>
      </c>
      <c r="M27" s="36" t="s">
        <v>357</v>
      </c>
      <c r="N27" s="37" t="s">
        <v>358</v>
      </c>
      <c r="O27" s="38" t="s">
        <v>226</v>
      </c>
      <c r="P27" s="39" t="s">
        <v>50</v>
      </c>
      <c r="Q27" s="40" t="s">
        <v>359</v>
      </c>
      <c r="R27" s="41" t="s">
        <v>35</v>
      </c>
      <c r="S27" s="42" t="s">
        <v>36</v>
      </c>
      <c r="T27" s="43" t="s">
        <v>360</v>
      </c>
      <c r="U27" s="45" t="str">
        <f>HYPERLINK("https://my.pitchbook.com?p=40954-06P", "View people online")</f>
        <v>View people online</v>
      </c>
    </row>
    <row r="28" spans="1:21" x14ac:dyDescent="0.3">
      <c r="A28" s="4" t="s">
        <v>361</v>
      </c>
      <c r="B28" s="5" t="s">
        <v>362</v>
      </c>
      <c r="C28" s="6" t="s">
        <v>363</v>
      </c>
      <c r="D28" s="7" t="s">
        <v>364</v>
      </c>
      <c r="E28" s="8" t="s">
        <v>365</v>
      </c>
      <c r="F28" s="9" t="s">
        <v>366</v>
      </c>
      <c r="G28" s="10" t="s">
        <v>36</v>
      </c>
      <c r="H28" s="11">
        <v>14</v>
      </c>
      <c r="I28" s="12">
        <v>9</v>
      </c>
      <c r="J28" s="13" t="s">
        <v>367</v>
      </c>
      <c r="K28" s="14" t="s">
        <v>368</v>
      </c>
      <c r="L28" s="15" t="s">
        <v>369</v>
      </c>
      <c r="M28" s="16" t="s">
        <v>370</v>
      </c>
      <c r="N28" s="17" t="s">
        <v>371</v>
      </c>
      <c r="O28" s="18" t="s">
        <v>372</v>
      </c>
      <c r="P28" s="19" t="s">
        <v>373</v>
      </c>
      <c r="Q28" s="20" t="s">
        <v>374</v>
      </c>
      <c r="R28" s="21" t="s">
        <v>79</v>
      </c>
      <c r="S28" s="22" t="s">
        <v>36</v>
      </c>
      <c r="T28" s="23" t="s">
        <v>375</v>
      </c>
      <c r="U28" s="44" t="str">
        <f>HYPERLINK("https://my.pitchbook.com?p=83703-61P", "View people online")</f>
        <v>View people online</v>
      </c>
    </row>
    <row r="29" spans="1:21" x14ac:dyDescent="0.3">
      <c r="A29" s="24" t="s">
        <v>376</v>
      </c>
      <c r="B29" s="25" t="s">
        <v>377</v>
      </c>
      <c r="C29" s="26" t="s">
        <v>378</v>
      </c>
      <c r="D29" s="27" t="s">
        <v>379</v>
      </c>
      <c r="E29" s="28" t="s">
        <v>380</v>
      </c>
      <c r="F29" s="29" t="s">
        <v>381</v>
      </c>
      <c r="G29" s="30">
        <v>1</v>
      </c>
      <c r="H29" s="31">
        <v>12</v>
      </c>
      <c r="I29" s="32">
        <v>11</v>
      </c>
      <c r="J29" s="33" t="s">
        <v>382</v>
      </c>
      <c r="K29" s="34" t="s">
        <v>383</v>
      </c>
      <c r="L29" s="35" t="s">
        <v>384</v>
      </c>
      <c r="M29" s="36" t="s">
        <v>385</v>
      </c>
      <c r="N29" s="37" t="s">
        <v>36</v>
      </c>
      <c r="O29" s="38" t="s">
        <v>386</v>
      </c>
      <c r="P29" s="39" t="s">
        <v>36</v>
      </c>
      <c r="Q29" s="40" t="s">
        <v>387</v>
      </c>
      <c r="R29" s="41" t="s">
        <v>388</v>
      </c>
      <c r="S29" s="42" t="s">
        <v>389</v>
      </c>
      <c r="T29" s="43" t="s">
        <v>390</v>
      </c>
      <c r="U29" s="45" t="str">
        <f>HYPERLINK("https://my.pitchbook.com?p=55415-80P", "View people online")</f>
        <v>View people online</v>
      </c>
    </row>
    <row r="30" spans="1:21" x14ac:dyDescent="0.3">
      <c r="A30" s="4" t="s">
        <v>391</v>
      </c>
      <c r="B30" s="5" t="s">
        <v>392</v>
      </c>
      <c r="C30" s="6" t="s">
        <v>393</v>
      </c>
      <c r="D30" s="7" t="s">
        <v>394</v>
      </c>
      <c r="E30" s="8" t="s">
        <v>179</v>
      </c>
      <c r="F30" s="9" t="s">
        <v>395</v>
      </c>
      <c r="G30" s="10" t="s">
        <v>36</v>
      </c>
      <c r="H30" s="11">
        <v>12</v>
      </c>
      <c r="I30" s="12">
        <v>10</v>
      </c>
      <c r="J30" s="13" t="s">
        <v>36</v>
      </c>
      <c r="K30" s="14" t="s">
        <v>396</v>
      </c>
      <c r="L30" s="15" t="s">
        <v>397</v>
      </c>
      <c r="M30" s="16" t="s">
        <v>398</v>
      </c>
      <c r="N30" s="17" t="s">
        <v>399</v>
      </c>
      <c r="O30" s="18" t="s">
        <v>400</v>
      </c>
      <c r="P30" s="19" t="s">
        <v>400</v>
      </c>
      <c r="Q30" s="20" t="s">
        <v>401</v>
      </c>
      <c r="R30" s="21" t="s">
        <v>35</v>
      </c>
      <c r="S30" s="22" t="s">
        <v>36</v>
      </c>
      <c r="T30" s="23" t="s">
        <v>402</v>
      </c>
      <c r="U30" s="44" t="str">
        <f>HYPERLINK("https://my.pitchbook.com?p=131649-04P", "View people online")</f>
        <v>View people online</v>
      </c>
    </row>
    <row r="31" spans="1:21" x14ac:dyDescent="0.3">
      <c r="A31" s="24" t="s">
        <v>403</v>
      </c>
      <c r="B31" s="25" t="s">
        <v>404</v>
      </c>
      <c r="C31" s="26" t="s">
        <v>405</v>
      </c>
      <c r="D31" s="27" t="s">
        <v>406</v>
      </c>
      <c r="E31" s="28" t="s">
        <v>407</v>
      </c>
      <c r="F31" s="29" t="s">
        <v>408</v>
      </c>
      <c r="G31" s="30">
        <v>5</v>
      </c>
      <c r="H31" s="31">
        <v>12</v>
      </c>
      <c r="I31" s="32">
        <v>5</v>
      </c>
      <c r="J31" s="33" t="s">
        <v>36</v>
      </c>
      <c r="K31" s="34" t="s">
        <v>409</v>
      </c>
      <c r="L31" s="35" t="s">
        <v>295</v>
      </c>
      <c r="M31" s="36" t="s">
        <v>36</v>
      </c>
      <c r="N31" s="37" t="s">
        <v>36</v>
      </c>
      <c r="O31" s="38" t="s">
        <v>298</v>
      </c>
      <c r="P31" s="39" t="s">
        <v>50</v>
      </c>
      <c r="Q31" s="40" t="s">
        <v>36</v>
      </c>
      <c r="R31" s="41" t="s">
        <v>35</v>
      </c>
      <c r="S31" s="42" t="s">
        <v>36</v>
      </c>
      <c r="T31" s="43" t="s">
        <v>410</v>
      </c>
      <c r="U31" s="45" t="str">
        <f>HYPERLINK("https://my.pitchbook.com?p=31065-58P", "View people online")</f>
        <v>View people online</v>
      </c>
    </row>
    <row r="32" spans="1:21" x14ac:dyDescent="0.3">
      <c r="A32" s="4" t="s">
        <v>411</v>
      </c>
      <c r="B32" s="5" t="s">
        <v>412</v>
      </c>
      <c r="C32" s="6" t="s">
        <v>413</v>
      </c>
      <c r="D32" s="7" t="s">
        <v>247</v>
      </c>
      <c r="E32" s="8" t="s">
        <v>179</v>
      </c>
      <c r="F32" s="9" t="s">
        <v>414</v>
      </c>
      <c r="G32" s="10" t="s">
        <v>36</v>
      </c>
      <c r="H32" s="11">
        <v>12</v>
      </c>
      <c r="I32" s="12">
        <v>8</v>
      </c>
      <c r="J32" s="13" t="s">
        <v>415</v>
      </c>
      <c r="K32" s="14" t="s">
        <v>416</v>
      </c>
      <c r="L32" s="15" t="s">
        <v>318</v>
      </c>
      <c r="M32" s="16" t="s">
        <v>417</v>
      </c>
      <c r="N32" s="17" t="s">
        <v>418</v>
      </c>
      <c r="O32" s="18" t="s">
        <v>321</v>
      </c>
      <c r="P32" s="19" t="s">
        <v>50</v>
      </c>
      <c r="Q32" s="20" t="s">
        <v>322</v>
      </c>
      <c r="R32" s="21" t="s">
        <v>35</v>
      </c>
      <c r="S32" s="22" t="s">
        <v>36</v>
      </c>
      <c r="T32" s="23" t="s">
        <v>419</v>
      </c>
      <c r="U32" s="44" t="str">
        <f>HYPERLINK("https://my.pitchbook.com?p=13701-07P", "View people online")</f>
        <v>View people online</v>
      </c>
    </row>
    <row r="33" spans="1:21" x14ac:dyDescent="0.3">
      <c r="A33" s="24" t="s">
        <v>420</v>
      </c>
      <c r="B33" s="25" t="s">
        <v>421</v>
      </c>
      <c r="C33" s="26" t="s">
        <v>422</v>
      </c>
      <c r="D33" s="27" t="s">
        <v>423</v>
      </c>
      <c r="E33" s="28" t="s">
        <v>424</v>
      </c>
      <c r="F33" s="29" t="s">
        <v>425</v>
      </c>
      <c r="G33" s="30">
        <v>3</v>
      </c>
      <c r="H33" s="31">
        <v>10</v>
      </c>
      <c r="I33" s="32">
        <v>7</v>
      </c>
      <c r="J33" s="33" t="s">
        <v>426</v>
      </c>
      <c r="K33" s="34" t="s">
        <v>36</v>
      </c>
      <c r="L33" s="35" t="s">
        <v>427</v>
      </c>
      <c r="M33" s="36" t="s">
        <v>428</v>
      </c>
      <c r="N33" s="37" t="s">
        <v>429</v>
      </c>
      <c r="O33" s="38" t="s">
        <v>430</v>
      </c>
      <c r="P33" s="39" t="s">
        <v>36</v>
      </c>
      <c r="Q33" s="40" t="s">
        <v>36</v>
      </c>
      <c r="R33" s="41" t="s">
        <v>431</v>
      </c>
      <c r="S33" s="42" t="s">
        <v>432</v>
      </c>
      <c r="T33" s="43" t="s">
        <v>433</v>
      </c>
      <c r="U33" s="45" t="str">
        <f>HYPERLINK("https://my.pitchbook.com?p=13908-61P", "View people online")</f>
        <v>View people online</v>
      </c>
    </row>
    <row r="34" spans="1:21" x14ac:dyDescent="0.3">
      <c r="A34" s="4" t="s">
        <v>434</v>
      </c>
      <c r="B34" s="5" t="s">
        <v>435</v>
      </c>
      <c r="C34" s="6" t="s">
        <v>436</v>
      </c>
      <c r="D34" s="7" t="s">
        <v>437</v>
      </c>
      <c r="E34" s="8" t="s">
        <v>438</v>
      </c>
      <c r="F34" s="9" t="s">
        <v>439</v>
      </c>
      <c r="G34" s="10">
        <v>1</v>
      </c>
      <c r="H34" s="11">
        <v>10</v>
      </c>
      <c r="I34" s="12">
        <v>8</v>
      </c>
      <c r="J34" s="13" t="s">
        <v>440</v>
      </c>
      <c r="K34" s="14" t="s">
        <v>441</v>
      </c>
      <c r="L34" s="15" t="s">
        <v>183</v>
      </c>
      <c r="M34" s="16" t="s">
        <v>442</v>
      </c>
      <c r="N34" s="17" t="s">
        <v>443</v>
      </c>
      <c r="O34" s="18" t="s">
        <v>186</v>
      </c>
      <c r="P34" s="19" t="s">
        <v>50</v>
      </c>
      <c r="Q34" s="20" t="s">
        <v>444</v>
      </c>
      <c r="R34" s="21" t="s">
        <v>35</v>
      </c>
      <c r="S34" s="22" t="s">
        <v>36</v>
      </c>
      <c r="T34" s="23" t="s">
        <v>445</v>
      </c>
      <c r="U34" s="44" t="str">
        <f>HYPERLINK("https://my.pitchbook.com?p=39594-79P", "View people online")</f>
        <v>View people online</v>
      </c>
    </row>
    <row r="35" spans="1:21" x14ac:dyDescent="0.3">
      <c r="A35" s="24" t="s">
        <v>446</v>
      </c>
      <c r="B35" s="25" t="s">
        <v>447</v>
      </c>
      <c r="C35" s="26" t="s">
        <v>448</v>
      </c>
      <c r="D35" s="27" t="s">
        <v>139</v>
      </c>
      <c r="E35" s="28" t="s">
        <v>449</v>
      </c>
      <c r="F35" s="29" t="s">
        <v>450</v>
      </c>
      <c r="G35" s="30">
        <v>3</v>
      </c>
      <c r="H35" s="31">
        <v>10</v>
      </c>
      <c r="I35" s="32">
        <v>3</v>
      </c>
      <c r="J35" s="33" t="s">
        <v>451</v>
      </c>
      <c r="K35" s="34" t="s">
        <v>452</v>
      </c>
      <c r="L35" s="35" t="s">
        <v>210</v>
      </c>
      <c r="M35" s="36" t="s">
        <v>453</v>
      </c>
      <c r="N35" s="37" t="s">
        <v>36</v>
      </c>
      <c r="O35" s="38" t="s">
        <v>213</v>
      </c>
      <c r="P35" s="39" t="s">
        <v>50</v>
      </c>
      <c r="Q35" s="40" t="s">
        <v>454</v>
      </c>
      <c r="R35" s="41" t="s">
        <v>35</v>
      </c>
      <c r="S35" s="42" t="s">
        <v>455</v>
      </c>
      <c r="T35" s="43" t="s">
        <v>456</v>
      </c>
      <c r="U35" s="45" t="str">
        <f>HYPERLINK("https://my.pitchbook.com?p=39709-27P", "View people online")</f>
        <v>View people online</v>
      </c>
    </row>
    <row r="36" spans="1:21" x14ac:dyDescent="0.3">
      <c r="A36" s="4" t="s">
        <v>457</v>
      </c>
      <c r="B36" s="5" t="s">
        <v>458</v>
      </c>
      <c r="C36" s="6" t="s">
        <v>459</v>
      </c>
      <c r="D36" s="7" t="s">
        <v>460</v>
      </c>
      <c r="E36" s="8" t="s">
        <v>128</v>
      </c>
      <c r="F36" s="9" t="s">
        <v>461</v>
      </c>
      <c r="G36" s="10">
        <v>1</v>
      </c>
      <c r="H36" s="11">
        <v>10</v>
      </c>
      <c r="I36" s="12">
        <v>8</v>
      </c>
      <c r="J36" s="13" t="s">
        <v>462</v>
      </c>
      <c r="K36" s="14" t="s">
        <v>463</v>
      </c>
      <c r="L36" s="15" t="s">
        <v>464</v>
      </c>
      <c r="M36" s="16" t="s">
        <v>465</v>
      </c>
      <c r="N36" s="17" t="s">
        <v>466</v>
      </c>
      <c r="O36" s="18" t="s">
        <v>467</v>
      </c>
      <c r="P36" s="19" t="s">
        <v>468</v>
      </c>
      <c r="Q36" s="20" t="s">
        <v>469</v>
      </c>
      <c r="R36" s="21" t="s">
        <v>35</v>
      </c>
      <c r="S36" s="22" t="s">
        <v>36</v>
      </c>
      <c r="T36" s="23" t="s">
        <v>470</v>
      </c>
      <c r="U36" s="44" t="str">
        <f>HYPERLINK("https://my.pitchbook.com?p=35739-55P", "View people online")</f>
        <v>View people online</v>
      </c>
    </row>
    <row r="37" spans="1:21" x14ac:dyDescent="0.3">
      <c r="A37" s="24" t="s">
        <v>471</v>
      </c>
      <c r="B37" s="25" t="s">
        <v>472</v>
      </c>
      <c r="C37" s="26" t="s">
        <v>473</v>
      </c>
      <c r="D37" s="27" t="s">
        <v>474</v>
      </c>
      <c r="E37" s="28" t="s">
        <v>272</v>
      </c>
      <c r="F37" s="29" t="s">
        <v>475</v>
      </c>
      <c r="G37" s="30">
        <v>2</v>
      </c>
      <c r="H37" s="31">
        <v>10</v>
      </c>
      <c r="I37" s="32">
        <v>4</v>
      </c>
      <c r="J37" s="33" t="s">
        <v>476</v>
      </c>
      <c r="K37" s="34" t="s">
        <v>36</v>
      </c>
      <c r="L37" s="35" t="s">
        <v>477</v>
      </c>
      <c r="M37" s="36" t="s">
        <v>478</v>
      </c>
      <c r="N37" s="37" t="s">
        <v>36</v>
      </c>
      <c r="O37" s="38" t="s">
        <v>479</v>
      </c>
      <c r="P37" s="39" t="s">
        <v>50</v>
      </c>
      <c r="Q37" s="40" t="s">
        <v>480</v>
      </c>
      <c r="R37" s="41" t="s">
        <v>35</v>
      </c>
      <c r="S37" s="42" t="s">
        <v>481</v>
      </c>
      <c r="T37" s="43" t="s">
        <v>482</v>
      </c>
      <c r="U37" s="45" t="str">
        <f>HYPERLINK("https://my.pitchbook.com?p=12759-40P", "View people online")</f>
        <v>View people online</v>
      </c>
    </row>
    <row r="38" spans="1:21" x14ac:dyDescent="0.3">
      <c r="A38" s="4" t="s">
        <v>483</v>
      </c>
      <c r="B38" s="5" t="s">
        <v>484</v>
      </c>
      <c r="C38" s="6" t="s">
        <v>485</v>
      </c>
      <c r="D38" s="7" t="s">
        <v>193</v>
      </c>
      <c r="E38" s="8" t="s">
        <v>314</v>
      </c>
      <c r="F38" s="9" t="s">
        <v>486</v>
      </c>
      <c r="G38" s="10">
        <v>1</v>
      </c>
      <c r="H38" s="11">
        <v>10</v>
      </c>
      <c r="I38" s="12">
        <v>8</v>
      </c>
      <c r="J38" s="13" t="s">
        <v>487</v>
      </c>
      <c r="K38" s="14" t="s">
        <v>488</v>
      </c>
      <c r="L38" s="15" t="s">
        <v>183</v>
      </c>
      <c r="M38" s="16" t="s">
        <v>489</v>
      </c>
      <c r="N38" s="17" t="s">
        <v>466</v>
      </c>
      <c r="O38" s="18" t="s">
        <v>186</v>
      </c>
      <c r="P38" s="19" t="s">
        <v>50</v>
      </c>
      <c r="Q38" s="20" t="s">
        <v>266</v>
      </c>
      <c r="R38" s="21" t="s">
        <v>35</v>
      </c>
      <c r="S38" s="22" t="s">
        <v>36</v>
      </c>
      <c r="T38" s="23" t="s">
        <v>490</v>
      </c>
      <c r="U38" s="44" t="str">
        <f>HYPERLINK("https://my.pitchbook.com?p=47982-79P", "View people online")</f>
        <v>View people online</v>
      </c>
    </row>
    <row r="39" spans="1:21" x14ac:dyDescent="0.3">
      <c r="A39" s="24" t="s">
        <v>491</v>
      </c>
      <c r="B39" s="25" t="s">
        <v>492</v>
      </c>
      <c r="C39" s="26" t="s">
        <v>493</v>
      </c>
      <c r="D39" s="27" t="s">
        <v>98</v>
      </c>
      <c r="E39" s="28" t="s">
        <v>494</v>
      </c>
      <c r="F39" s="29" t="s">
        <v>495</v>
      </c>
      <c r="G39" s="30">
        <v>3</v>
      </c>
      <c r="H39" s="31">
        <v>9</v>
      </c>
      <c r="I39" s="32">
        <v>1</v>
      </c>
      <c r="J39" s="33" t="s">
        <v>496</v>
      </c>
      <c r="K39" s="34" t="s">
        <v>497</v>
      </c>
      <c r="L39" s="35" t="s">
        <v>498</v>
      </c>
      <c r="M39" s="36" t="s">
        <v>499</v>
      </c>
      <c r="N39" s="37" t="s">
        <v>36</v>
      </c>
      <c r="O39" s="38" t="s">
        <v>500</v>
      </c>
      <c r="P39" s="39" t="s">
        <v>501</v>
      </c>
      <c r="Q39" s="40" t="s">
        <v>502</v>
      </c>
      <c r="R39" s="41" t="s">
        <v>35</v>
      </c>
      <c r="S39" s="42" t="s">
        <v>36</v>
      </c>
      <c r="T39" s="43" t="s">
        <v>503</v>
      </c>
      <c r="U39" s="45" t="str">
        <f>HYPERLINK("https://my.pitchbook.com?p=38168-47P", "View people online")</f>
        <v>View people online</v>
      </c>
    </row>
    <row r="40" spans="1:21" x14ac:dyDescent="0.3">
      <c r="A40" s="4" t="s">
        <v>504</v>
      </c>
      <c r="B40" s="5" t="s">
        <v>505</v>
      </c>
      <c r="C40" s="6" t="s">
        <v>506</v>
      </c>
      <c r="D40" s="7" t="s">
        <v>507</v>
      </c>
      <c r="E40" s="8" t="s">
        <v>508</v>
      </c>
      <c r="F40" s="9" t="s">
        <v>509</v>
      </c>
      <c r="G40" s="10">
        <v>2</v>
      </c>
      <c r="H40" s="11">
        <v>9</v>
      </c>
      <c r="I40" s="12">
        <v>6</v>
      </c>
      <c r="J40" s="13" t="s">
        <v>510</v>
      </c>
      <c r="K40" s="14" t="s">
        <v>511</v>
      </c>
      <c r="L40" s="15" t="s">
        <v>512</v>
      </c>
      <c r="M40" s="16" t="s">
        <v>513</v>
      </c>
      <c r="N40" s="17" t="s">
        <v>514</v>
      </c>
      <c r="O40" s="18" t="s">
        <v>515</v>
      </c>
      <c r="P40" s="19" t="s">
        <v>516</v>
      </c>
      <c r="Q40" s="20" t="s">
        <v>517</v>
      </c>
      <c r="R40" s="21" t="s">
        <v>35</v>
      </c>
      <c r="S40" s="22" t="s">
        <v>36</v>
      </c>
      <c r="T40" s="23" t="s">
        <v>518</v>
      </c>
      <c r="U40" s="44" t="str">
        <f>HYPERLINK("https://my.pitchbook.com?p=37047-70P", "View people online")</f>
        <v>View people online</v>
      </c>
    </row>
    <row r="41" spans="1:21" x14ac:dyDescent="0.3">
      <c r="A41" s="24" t="s">
        <v>519</v>
      </c>
      <c r="B41" s="25" t="s">
        <v>520</v>
      </c>
      <c r="C41" s="26" t="s">
        <v>521</v>
      </c>
      <c r="D41" s="27" t="s">
        <v>522</v>
      </c>
      <c r="E41" s="28" t="s">
        <v>523</v>
      </c>
      <c r="F41" s="29" t="s">
        <v>524</v>
      </c>
      <c r="G41" s="30">
        <v>1</v>
      </c>
      <c r="H41" s="31">
        <v>8</v>
      </c>
      <c r="I41" s="32">
        <v>4</v>
      </c>
      <c r="J41" s="33" t="s">
        <v>525</v>
      </c>
      <c r="K41" s="34" t="s">
        <v>526</v>
      </c>
      <c r="L41" s="35" t="s">
        <v>527</v>
      </c>
      <c r="M41" s="36" t="s">
        <v>528</v>
      </c>
      <c r="N41" s="37" t="s">
        <v>529</v>
      </c>
      <c r="O41" s="38" t="s">
        <v>530</v>
      </c>
      <c r="P41" s="39" t="s">
        <v>240</v>
      </c>
      <c r="Q41" s="40" t="s">
        <v>531</v>
      </c>
      <c r="R41" s="41" t="s">
        <v>35</v>
      </c>
      <c r="S41" s="42" t="s">
        <v>36</v>
      </c>
      <c r="T41" s="43" t="s">
        <v>532</v>
      </c>
      <c r="U41" s="45" t="str">
        <f>HYPERLINK("https://my.pitchbook.com?p=43630-66P", "View people online")</f>
        <v>View people online</v>
      </c>
    </row>
    <row r="42" spans="1:21" x14ac:dyDescent="0.3">
      <c r="A42" s="4" t="s">
        <v>533</v>
      </c>
      <c r="B42" s="5" t="s">
        <v>534</v>
      </c>
      <c r="C42" s="6" t="s">
        <v>535</v>
      </c>
      <c r="D42" s="7" t="s">
        <v>536</v>
      </c>
      <c r="E42" s="8" t="s">
        <v>340</v>
      </c>
      <c r="F42" s="9" t="s">
        <v>537</v>
      </c>
      <c r="G42" s="10">
        <v>1</v>
      </c>
      <c r="H42" s="11">
        <v>8</v>
      </c>
      <c r="I42" s="12">
        <v>3</v>
      </c>
      <c r="J42" s="13" t="s">
        <v>538</v>
      </c>
      <c r="K42" s="14" t="s">
        <v>539</v>
      </c>
      <c r="L42" s="15" t="s">
        <v>540</v>
      </c>
      <c r="M42" s="16" t="s">
        <v>541</v>
      </c>
      <c r="N42" s="17" t="s">
        <v>542</v>
      </c>
      <c r="O42" s="18" t="s">
        <v>543</v>
      </c>
      <c r="P42" s="19" t="s">
        <v>544</v>
      </c>
      <c r="Q42" s="20" t="s">
        <v>545</v>
      </c>
      <c r="R42" s="21" t="s">
        <v>35</v>
      </c>
      <c r="S42" s="22" t="s">
        <v>36</v>
      </c>
      <c r="T42" s="23" t="s">
        <v>546</v>
      </c>
      <c r="U42" s="44" t="str">
        <f>HYPERLINK("https://my.pitchbook.com?p=30935-80P", "View people online")</f>
        <v>View people online</v>
      </c>
    </row>
    <row r="43" spans="1:21" x14ac:dyDescent="0.3">
      <c r="A43" s="24" t="s">
        <v>547</v>
      </c>
      <c r="B43" s="25" t="s">
        <v>548</v>
      </c>
      <c r="C43" s="26" t="s">
        <v>549</v>
      </c>
      <c r="D43" s="27" t="s">
        <v>550</v>
      </c>
      <c r="E43" s="28" t="s">
        <v>551</v>
      </c>
      <c r="F43" s="29" t="s">
        <v>552</v>
      </c>
      <c r="G43" s="30">
        <v>3</v>
      </c>
      <c r="H43" s="31">
        <v>8</v>
      </c>
      <c r="I43" s="32">
        <v>4</v>
      </c>
      <c r="J43" s="33" t="s">
        <v>553</v>
      </c>
      <c r="K43" s="34" t="s">
        <v>36</v>
      </c>
      <c r="L43" s="35" t="s">
        <v>464</v>
      </c>
      <c r="M43" s="36" t="s">
        <v>554</v>
      </c>
      <c r="N43" s="37" t="s">
        <v>555</v>
      </c>
      <c r="O43" s="38" t="s">
        <v>467</v>
      </c>
      <c r="P43" s="39" t="s">
        <v>468</v>
      </c>
      <c r="Q43" s="40" t="s">
        <v>556</v>
      </c>
      <c r="R43" s="41" t="s">
        <v>35</v>
      </c>
      <c r="S43" s="42" t="s">
        <v>36</v>
      </c>
      <c r="T43" s="43" t="s">
        <v>557</v>
      </c>
      <c r="U43" s="45" t="str">
        <f>HYPERLINK("https://my.pitchbook.com?p=47226-88P", "View people online")</f>
        <v>View people online</v>
      </c>
    </row>
    <row r="44" spans="1:21" x14ac:dyDescent="0.3">
      <c r="A44" s="4" t="s">
        <v>558</v>
      </c>
      <c r="B44" s="5" t="s">
        <v>559</v>
      </c>
      <c r="C44" s="6" t="s">
        <v>560</v>
      </c>
      <c r="D44" s="7" t="s">
        <v>561</v>
      </c>
      <c r="E44" s="8" t="s">
        <v>314</v>
      </c>
      <c r="F44" s="9" t="s">
        <v>562</v>
      </c>
      <c r="G44" s="10">
        <v>1</v>
      </c>
      <c r="H44" s="11">
        <v>8</v>
      </c>
      <c r="I44" s="12">
        <v>6</v>
      </c>
      <c r="J44" s="13" t="s">
        <v>563</v>
      </c>
      <c r="K44" s="14" t="s">
        <v>564</v>
      </c>
      <c r="L44" s="15" t="s">
        <v>183</v>
      </c>
      <c r="M44" s="16" t="s">
        <v>565</v>
      </c>
      <c r="N44" s="17" t="s">
        <v>566</v>
      </c>
      <c r="O44" s="18" t="s">
        <v>186</v>
      </c>
      <c r="P44" s="19" t="s">
        <v>50</v>
      </c>
      <c r="Q44" s="20" t="s">
        <v>266</v>
      </c>
      <c r="R44" s="21" t="s">
        <v>35</v>
      </c>
      <c r="S44" s="22" t="s">
        <v>36</v>
      </c>
      <c r="T44" s="23" t="s">
        <v>567</v>
      </c>
      <c r="U44" s="44" t="str">
        <f>HYPERLINK("https://my.pitchbook.com?p=92937-25P", "View people online")</f>
        <v>View people online</v>
      </c>
    </row>
    <row r="45" spans="1:21" x14ac:dyDescent="0.3">
      <c r="A45" s="24" t="s">
        <v>568</v>
      </c>
      <c r="B45" s="25" t="s">
        <v>569</v>
      </c>
      <c r="C45" s="26" t="s">
        <v>570</v>
      </c>
      <c r="D45" s="27" t="s">
        <v>139</v>
      </c>
      <c r="E45" s="28" t="s">
        <v>272</v>
      </c>
      <c r="F45" s="29" t="s">
        <v>571</v>
      </c>
      <c r="G45" s="30">
        <v>1</v>
      </c>
      <c r="H45" s="31">
        <v>8</v>
      </c>
      <c r="I45" s="32">
        <v>5</v>
      </c>
      <c r="J45" s="33" t="s">
        <v>572</v>
      </c>
      <c r="K45" s="34" t="s">
        <v>573</v>
      </c>
      <c r="L45" s="35" t="s">
        <v>183</v>
      </c>
      <c r="M45" s="36" t="s">
        <v>574</v>
      </c>
      <c r="N45" s="37" t="s">
        <v>36</v>
      </c>
      <c r="O45" s="38" t="s">
        <v>186</v>
      </c>
      <c r="P45" s="39" t="s">
        <v>50</v>
      </c>
      <c r="Q45" s="40" t="s">
        <v>575</v>
      </c>
      <c r="R45" s="41" t="s">
        <v>35</v>
      </c>
      <c r="S45" s="42" t="s">
        <v>36</v>
      </c>
      <c r="T45" s="43" t="s">
        <v>576</v>
      </c>
      <c r="U45" s="45" t="str">
        <f>HYPERLINK("https://my.pitchbook.com?p=48232-63P", "View people online")</f>
        <v>View people online</v>
      </c>
    </row>
    <row r="46" spans="1:21" x14ac:dyDescent="0.3">
      <c r="A46" s="4" t="s">
        <v>577</v>
      </c>
      <c r="B46" s="5" t="s">
        <v>578</v>
      </c>
      <c r="C46" s="6" t="s">
        <v>579</v>
      </c>
      <c r="D46" s="7" t="s">
        <v>580</v>
      </c>
      <c r="E46" s="8" t="s">
        <v>314</v>
      </c>
      <c r="F46" s="9" t="s">
        <v>581</v>
      </c>
      <c r="G46" s="10">
        <v>2</v>
      </c>
      <c r="H46" s="11">
        <v>8</v>
      </c>
      <c r="I46" s="12">
        <v>6</v>
      </c>
      <c r="J46" s="13" t="s">
        <v>582</v>
      </c>
      <c r="K46" s="14" t="s">
        <v>583</v>
      </c>
      <c r="L46" s="15" t="s">
        <v>157</v>
      </c>
      <c r="M46" s="16" t="s">
        <v>584</v>
      </c>
      <c r="N46" s="17" t="s">
        <v>585</v>
      </c>
      <c r="O46" s="18" t="s">
        <v>159</v>
      </c>
      <c r="P46" s="19" t="s">
        <v>50</v>
      </c>
      <c r="Q46" s="20" t="s">
        <v>586</v>
      </c>
      <c r="R46" s="21" t="s">
        <v>35</v>
      </c>
      <c r="S46" s="22" t="s">
        <v>36</v>
      </c>
      <c r="T46" s="23" t="s">
        <v>587</v>
      </c>
      <c r="U46" s="44" t="str">
        <f>HYPERLINK("https://my.pitchbook.com?p=43548-94P", "View people online")</f>
        <v>View people online</v>
      </c>
    </row>
    <row r="47" spans="1:21" x14ac:dyDescent="0.3">
      <c r="A47" s="24" t="s">
        <v>588</v>
      </c>
      <c r="B47" s="25" t="s">
        <v>589</v>
      </c>
      <c r="C47" s="26" t="s">
        <v>590</v>
      </c>
      <c r="D47" s="27" t="s">
        <v>591</v>
      </c>
      <c r="E47" s="28" t="s">
        <v>140</v>
      </c>
      <c r="F47" s="29" t="s">
        <v>592</v>
      </c>
      <c r="G47" s="30">
        <v>2</v>
      </c>
      <c r="H47" s="31">
        <v>8</v>
      </c>
      <c r="I47" s="32">
        <v>4</v>
      </c>
      <c r="J47" s="33" t="s">
        <v>593</v>
      </c>
      <c r="K47" s="34" t="s">
        <v>594</v>
      </c>
      <c r="L47" s="35" t="s">
        <v>595</v>
      </c>
      <c r="M47" s="36" t="s">
        <v>596</v>
      </c>
      <c r="N47" s="37" t="s">
        <v>597</v>
      </c>
      <c r="O47" s="38" t="s">
        <v>598</v>
      </c>
      <c r="P47" s="39" t="s">
        <v>599</v>
      </c>
      <c r="Q47" s="40" t="s">
        <v>600</v>
      </c>
      <c r="R47" s="41" t="s">
        <v>601</v>
      </c>
      <c r="S47" s="42" t="s">
        <v>602</v>
      </c>
      <c r="T47" s="43" t="s">
        <v>603</v>
      </c>
      <c r="U47" s="45" t="str">
        <f>HYPERLINK("https://my.pitchbook.com?p=16092-73P", "View people online")</f>
        <v>View people online</v>
      </c>
    </row>
    <row r="48" spans="1:21" x14ac:dyDescent="0.3">
      <c r="A48" s="4" t="s">
        <v>604</v>
      </c>
      <c r="B48" s="5" t="s">
        <v>605</v>
      </c>
      <c r="C48" s="6" t="s">
        <v>606</v>
      </c>
      <c r="D48" s="7" t="s">
        <v>607</v>
      </c>
      <c r="E48" s="8" t="s">
        <v>86</v>
      </c>
      <c r="F48" s="9" t="s">
        <v>608</v>
      </c>
      <c r="G48" s="10" t="s">
        <v>36</v>
      </c>
      <c r="H48" s="11">
        <v>8</v>
      </c>
      <c r="I48" s="12">
        <v>5</v>
      </c>
      <c r="J48" s="13" t="s">
        <v>36</v>
      </c>
      <c r="K48" s="14" t="s">
        <v>36</v>
      </c>
      <c r="L48" s="15" t="s">
        <v>609</v>
      </c>
      <c r="M48" s="16" t="s">
        <v>610</v>
      </c>
      <c r="N48" s="17" t="s">
        <v>36</v>
      </c>
      <c r="O48" s="18" t="s">
        <v>611</v>
      </c>
      <c r="P48" s="19" t="s">
        <v>612</v>
      </c>
      <c r="Q48" s="20" t="s">
        <v>613</v>
      </c>
      <c r="R48" s="21" t="s">
        <v>35</v>
      </c>
      <c r="S48" s="22" t="s">
        <v>36</v>
      </c>
      <c r="T48" s="23" t="s">
        <v>614</v>
      </c>
      <c r="U48" s="44" t="str">
        <f>HYPERLINK("https://my.pitchbook.com?p=41506-30P", "View people online")</f>
        <v>View people online</v>
      </c>
    </row>
    <row r="49" spans="1:21" x14ac:dyDescent="0.3">
      <c r="A49" s="24" t="s">
        <v>615</v>
      </c>
      <c r="B49" s="25" t="s">
        <v>616</v>
      </c>
      <c r="C49" s="26" t="s">
        <v>617</v>
      </c>
      <c r="D49" s="27" t="s">
        <v>618</v>
      </c>
      <c r="E49" s="28" t="s">
        <v>619</v>
      </c>
      <c r="F49" s="29" t="s">
        <v>620</v>
      </c>
      <c r="G49" s="30">
        <v>2</v>
      </c>
      <c r="H49" s="31">
        <v>8</v>
      </c>
      <c r="I49" s="32">
        <v>5</v>
      </c>
      <c r="J49" s="33" t="s">
        <v>621</v>
      </c>
      <c r="K49" s="34" t="s">
        <v>622</v>
      </c>
      <c r="L49" s="35" t="s">
        <v>183</v>
      </c>
      <c r="M49" s="36" t="s">
        <v>623</v>
      </c>
      <c r="N49" s="37" t="s">
        <v>624</v>
      </c>
      <c r="O49" s="38" t="s">
        <v>186</v>
      </c>
      <c r="P49" s="39" t="s">
        <v>50</v>
      </c>
      <c r="Q49" s="40" t="s">
        <v>625</v>
      </c>
      <c r="R49" s="41" t="s">
        <v>35</v>
      </c>
      <c r="S49" s="42" t="s">
        <v>36</v>
      </c>
      <c r="T49" s="43" t="s">
        <v>626</v>
      </c>
      <c r="U49" s="45" t="str">
        <f>HYPERLINK("https://my.pitchbook.com?p=46377-82P", "View people online")</f>
        <v>View people online</v>
      </c>
    </row>
    <row r="50" spans="1:21" x14ac:dyDescent="0.3">
      <c r="A50" s="4" t="s">
        <v>627</v>
      </c>
      <c r="B50" s="5" t="s">
        <v>628</v>
      </c>
      <c r="C50" s="6" t="s">
        <v>629</v>
      </c>
      <c r="D50" s="7" t="s">
        <v>630</v>
      </c>
      <c r="E50" s="8" t="s">
        <v>631</v>
      </c>
      <c r="F50" s="9" t="s">
        <v>632</v>
      </c>
      <c r="G50" s="10" t="s">
        <v>36</v>
      </c>
      <c r="H50" s="11">
        <v>7</v>
      </c>
      <c r="I50" s="12">
        <v>6</v>
      </c>
      <c r="J50" s="13" t="s">
        <v>633</v>
      </c>
      <c r="K50" s="14" t="s">
        <v>634</v>
      </c>
      <c r="L50" s="15" t="s">
        <v>635</v>
      </c>
      <c r="M50" s="16" t="s">
        <v>636</v>
      </c>
      <c r="N50" s="17" t="s">
        <v>36</v>
      </c>
      <c r="O50" s="18" t="s">
        <v>637</v>
      </c>
      <c r="P50" s="19" t="s">
        <v>50</v>
      </c>
      <c r="Q50" s="20" t="s">
        <v>638</v>
      </c>
      <c r="R50" s="21" t="s">
        <v>35</v>
      </c>
      <c r="S50" s="22" t="s">
        <v>639</v>
      </c>
      <c r="T50" s="23" t="s">
        <v>640</v>
      </c>
      <c r="U50" s="44" t="str">
        <f>HYPERLINK("https://my.pitchbook.com?p=63662-68P", "View people online")</f>
        <v>View people online</v>
      </c>
    </row>
    <row r="51" spans="1:21" x14ac:dyDescent="0.3">
      <c r="A51" s="24" t="s">
        <v>641</v>
      </c>
      <c r="B51" s="25" t="s">
        <v>642</v>
      </c>
      <c r="C51" s="26" t="s">
        <v>643</v>
      </c>
      <c r="D51" s="27" t="s">
        <v>644</v>
      </c>
      <c r="E51" s="28" t="s">
        <v>645</v>
      </c>
      <c r="F51" s="29" t="s">
        <v>646</v>
      </c>
      <c r="G51" s="30">
        <v>1</v>
      </c>
      <c r="H51" s="31">
        <v>7</v>
      </c>
      <c r="I51" s="32">
        <v>4</v>
      </c>
      <c r="J51" s="33" t="s">
        <v>36</v>
      </c>
      <c r="K51" s="34" t="s">
        <v>647</v>
      </c>
      <c r="L51" s="35" t="s">
        <v>224</v>
      </c>
      <c r="M51" s="36" t="s">
        <v>648</v>
      </c>
      <c r="N51" s="37" t="s">
        <v>649</v>
      </c>
      <c r="O51" s="38" t="s">
        <v>226</v>
      </c>
      <c r="P51" s="39" t="s">
        <v>50</v>
      </c>
      <c r="Q51" s="40" t="s">
        <v>227</v>
      </c>
      <c r="R51" s="41" t="s">
        <v>35</v>
      </c>
      <c r="S51" s="42" t="s">
        <v>36</v>
      </c>
      <c r="T51" s="43" t="s">
        <v>650</v>
      </c>
      <c r="U51" s="45" t="str">
        <f>HYPERLINK("https://my.pitchbook.com?p=96376-06P", "View people online")</f>
        <v>View people online</v>
      </c>
    </row>
    <row r="52" spans="1:21" x14ac:dyDescent="0.3">
      <c r="A52" s="4" t="s">
        <v>651</v>
      </c>
      <c r="B52" s="5" t="s">
        <v>652</v>
      </c>
      <c r="C52" s="6" t="s">
        <v>653</v>
      </c>
      <c r="D52" s="7" t="s">
        <v>654</v>
      </c>
      <c r="E52" s="8" t="s">
        <v>86</v>
      </c>
      <c r="F52" s="9" t="s">
        <v>655</v>
      </c>
      <c r="G52" s="10">
        <v>1</v>
      </c>
      <c r="H52" s="11">
        <v>7</v>
      </c>
      <c r="I52" s="12">
        <v>3</v>
      </c>
      <c r="J52" s="13" t="s">
        <v>656</v>
      </c>
      <c r="K52" s="14" t="s">
        <v>657</v>
      </c>
      <c r="L52" s="15" t="s">
        <v>36</v>
      </c>
      <c r="M52" s="16" t="s">
        <v>36</v>
      </c>
      <c r="N52" s="17" t="s">
        <v>36</v>
      </c>
      <c r="O52" s="18" t="s">
        <v>36</v>
      </c>
      <c r="P52" s="19" t="s">
        <v>36</v>
      </c>
      <c r="Q52" s="20" t="s">
        <v>36</v>
      </c>
      <c r="R52" s="21" t="s">
        <v>35</v>
      </c>
      <c r="S52" s="22" t="s">
        <v>36</v>
      </c>
      <c r="T52" s="23" t="s">
        <v>658</v>
      </c>
      <c r="U52" s="44" t="str">
        <f>HYPERLINK("https://my.pitchbook.com?p=120067-48P", "View people online")</f>
        <v>View people online</v>
      </c>
    </row>
    <row r="53" spans="1:21" x14ac:dyDescent="0.3">
      <c r="A53" s="24" t="s">
        <v>659</v>
      </c>
      <c r="B53" s="25" t="s">
        <v>660</v>
      </c>
      <c r="C53" s="26" t="s">
        <v>661</v>
      </c>
      <c r="D53" s="27" t="s">
        <v>662</v>
      </c>
      <c r="E53" s="28" t="s">
        <v>663</v>
      </c>
      <c r="F53" s="29" t="s">
        <v>664</v>
      </c>
      <c r="G53" s="30">
        <v>1</v>
      </c>
      <c r="H53" s="31">
        <v>7</v>
      </c>
      <c r="I53" s="32">
        <v>4</v>
      </c>
      <c r="J53" s="33" t="s">
        <v>665</v>
      </c>
      <c r="K53" s="34" t="s">
        <v>36</v>
      </c>
      <c r="L53" s="35" t="s">
        <v>666</v>
      </c>
      <c r="M53" s="36" t="s">
        <v>667</v>
      </c>
      <c r="N53" s="37" t="s">
        <v>668</v>
      </c>
      <c r="O53" s="38" t="s">
        <v>669</v>
      </c>
      <c r="P53" s="39" t="s">
        <v>36</v>
      </c>
      <c r="Q53" s="40" t="s">
        <v>670</v>
      </c>
      <c r="R53" s="41" t="s">
        <v>671</v>
      </c>
      <c r="S53" s="42" t="s">
        <v>672</v>
      </c>
      <c r="T53" s="43" t="s">
        <v>673</v>
      </c>
      <c r="U53" s="45" t="str">
        <f>HYPERLINK("https://my.pitchbook.com?p=138970-90P", "View people online")</f>
        <v>View people online</v>
      </c>
    </row>
    <row r="54" spans="1:21" x14ac:dyDescent="0.3">
      <c r="A54" s="4" t="s">
        <v>674</v>
      </c>
      <c r="B54" s="5" t="s">
        <v>675</v>
      </c>
      <c r="C54" s="6" t="s">
        <v>676</v>
      </c>
      <c r="D54" s="7" t="s">
        <v>677</v>
      </c>
      <c r="E54" s="8" t="s">
        <v>86</v>
      </c>
      <c r="F54" s="9" t="s">
        <v>678</v>
      </c>
      <c r="G54" s="10">
        <v>2</v>
      </c>
      <c r="H54" s="11">
        <v>7</v>
      </c>
      <c r="I54" s="12">
        <v>2</v>
      </c>
      <c r="J54" s="13" t="s">
        <v>36</v>
      </c>
      <c r="K54" s="14" t="s">
        <v>36</v>
      </c>
      <c r="L54" s="15" t="s">
        <v>679</v>
      </c>
      <c r="M54" s="16" t="s">
        <v>680</v>
      </c>
      <c r="N54" s="17" t="s">
        <v>36</v>
      </c>
      <c r="O54" s="18" t="s">
        <v>681</v>
      </c>
      <c r="P54" s="19" t="s">
        <v>682</v>
      </c>
      <c r="Q54" s="20" t="s">
        <v>683</v>
      </c>
      <c r="R54" s="21" t="s">
        <v>35</v>
      </c>
      <c r="S54" s="22" t="s">
        <v>36</v>
      </c>
      <c r="T54" s="23" t="s">
        <v>684</v>
      </c>
      <c r="U54" s="44" t="str">
        <f>HYPERLINK("https://my.pitchbook.com?p=48047-77P", "View people online")</f>
        <v>View people online</v>
      </c>
    </row>
    <row r="55" spans="1:21" x14ac:dyDescent="0.3">
      <c r="A55" s="24" t="s">
        <v>685</v>
      </c>
      <c r="B55" s="25" t="s">
        <v>686</v>
      </c>
      <c r="C55" s="26" t="s">
        <v>687</v>
      </c>
      <c r="D55" s="27" t="s">
        <v>688</v>
      </c>
      <c r="E55" s="28" t="s">
        <v>689</v>
      </c>
      <c r="F55" s="29" t="s">
        <v>690</v>
      </c>
      <c r="G55" s="30">
        <v>1</v>
      </c>
      <c r="H55" s="31">
        <v>7</v>
      </c>
      <c r="I55" s="32">
        <v>3</v>
      </c>
      <c r="J55" s="33" t="s">
        <v>691</v>
      </c>
      <c r="K55" s="34" t="s">
        <v>692</v>
      </c>
      <c r="L55" s="35" t="s">
        <v>666</v>
      </c>
      <c r="M55" s="36" t="s">
        <v>693</v>
      </c>
      <c r="N55" s="37" t="s">
        <v>36</v>
      </c>
      <c r="O55" s="38" t="s">
        <v>669</v>
      </c>
      <c r="P55" s="39" t="s">
        <v>36</v>
      </c>
      <c r="Q55" s="40" t="s">
        <v>694</v>
      </c>
      <c r="R55" s="41" t="s">
        <v>671</v>
      </c>
      <c r="S55" s="42" t="s">
        <v>36</v>
      </c>
      <c r="T55" s="43" t="s">
        <v>695</v>
      </c>
      <c r="U55" s="45" t="str">
        <f>HYPERLINK("https://my.pitchbook.com?p=111227-23P", "View people online")</f>
        <v>View people online</v>
      </c>
    </row>
    <row r="56" spans="1:21" x14ac:dyDescent="0.3">
      <c r="A56" s="4" t="s">
        <v>696</v>
      </c>
      <c r="B56" s="5" t="s">
        <v>697</v>
      </c>
      <c r="C56" s="6" t="s">
        <v>698</v>
      </c>
      <c r="D56" s="7" t="s">
        <v>699</v>
      </c>
      <c r="E56" s="8" t="s">
        <v>153</v>
      </c>
      <c r="F56" s="9" t="s">
        <v>700</v>
      </c>
      <c r="G56" s="10">
        <v>4</v>
      </c>
      <c r="H56" s="11">
        <v>7</v>
      </c>
      <c r="I56" s="12">
        <v>1</v>
      </c>
      <c r="J56" s="13" t="s">
        <v>701</v>
      </c>
      <c r="K56" s="14" t="s">
        <v>702</v>
      </c>
      <c r="L56" s="15" t="s">
        <v>703</v>
      </c>
      <c r="M56" s="16" t="s">
        <v>704</v>
      </c>
      <c r="N56" s="17" t="s">
        <v>705</v>
      </c>
      <c r="O56" s="18" t="s">
        <v>706</v>
      </c>
      <c r="P56" s="19" t="s">
        <v>468</v>
      </c>
      <c r="Q56" s="20" t="s">
        <v>707</v>
      </c>
      <c r="R56" s="21" t="s">
        <v>35</v>
      </c>
      <c r="S56" s="22" t="s">
        <v>36</v>
      </c>
      <c r="T56" s="23" t="s">
        <v>708</v>
      </c>
      <c r="U56" s="44" t="str">
        <f>HYPERLINK("https://my.pitchbook.com?p=16369-30P", "View people online")</f>
        <v>View people online</v>
      </c>
    </row>
    <row r="57" spans="1:21" x14ac:dyDescent="0.3">
      <c r="A57" s="24" t="s">
        <v>709</v>
      </c>
      <c r="B57" s="25" t="s">
        <v>710</v>
      </c>
      <c r="C57" s="26" t="s">
        <v>711</v>
      </c>
      <c r="D57" s="27" t="s">
        <v>712</v>
      </c>
      <c r="E57" s="28" t="s">
        <v>340</v>
      </c>
      <c r="F57" s="29" t="s">
        <v>713</v>
      </c>
      <c r="G57" s="30">
        <v>2</v>
      </c>
      <c r="H57" s="31">
        <v>7</v>
      </c>
      <c r="I57" s="32">
        <v>2</v>
      </c>
      <c r="J57" s="33" t="s">
        <v>714</v>
      </c>
      <c r="K57" s="34" t="s">
        <v>715</v>
      </c>
      <c r="L57" s="35" t="s">
        <v>183</v>
      </c>
      <c r="M57" s="36" t="s">
        <v>716</v>
      </c>
      <c r="N57" s="37" t="s">
        <v>717</v>
      </c>
      <c r="O57" s="38" t="s">
        <v>186</v>
      </c>
      <c r="P57" s="39" t="s">
        <v>50</v>
      </c>
      <c r="Q57" s="40" t="s">
        <v>718</v>
      </c>
      <c r="R57" s="41" t="s">
        <v>35</v>
      </c>
      <c r="S57" s="42" t="s">
        <v>36</v>
      </c>
      <c r="T57" s="43" t="s">
        <v>719</v>
      </c>
      <c r="U57" s="45" t="str">
        <f>HYPERLINK("https://my.pitchbook.com?p=69936-49P", "View people online")</f>
        <v>View people online</v>
      </c>
    </row>
    <row r="58" spans="1:21" x14ac:dyDescent="0.3">
      <c r="A58" s="4" t="s">
        <v>720</v>
      </c>
      <c r="B58" s="5" t="s">
        <v>721</v>
      </c>
      <c r="C58" s="6" t="s">
        <v>722</v>
      </c>
      <c r="D58" s="7" t="s">
        <v>723</v>
      </c>
      <c r="E58" s="8" t="s">
        <v>179</v>
      </c>
      <c r="F58" s="9" t="s">
        <v>724</v>
      </c>
      <c r="G58" s="10" t="s">
        <v>36</v>
      </c>
      <c r="H58" s="11">
        <v>7</v>
      </c>
      <c r="I58" s="12">
        <v>2</v>
      </c>
      <c r="J58" s="13" t="s">
        <v>36</v>
      </c>
      <c r="K58" s="14" t="s">
        <v>36</v>
      </c>
      <c r="L58" s="15" t="s">
        <v>725</v>
      </c>
      <c r="M58" s="16" t="s">
        <v>36</v>
      </c>
      <c r="N58" s="17" t="s">
        <v>36</v>
      </c>
      <c r="O58" s="18" t="s">
        <v>726</v>
      </c>
      <c r="P58" s="19" t="s">
        <v>36</v>
      </c>
      <c r="Q58" s="20" t="s">
        <v>36</v>
      </c>
      <c r="R58" s="21" t="s">
        <v>726</v>
      </c>
      <c r="S58" s="22" t="s">
        <v>36</v>
      </c>
      <c r="T58" s="23" t="s">
        <v>727</v>
      </c>
      <c r="U58" s="44" t="str">
        <f>HYPERLINK("https://my.pitchbook.com?p=78576-94P", "View people online")</f>
        <v>View people online</v>
      </c>
    </row>
    <row r="59" spans="1:21" x14ac:dyDescent="0.3">
      <c r="A59" s="24" t="s">
        <v>728</v>
      </c>
      <c r="B59" s="25" t="s">
        <v>729</v>
      </c>
      <c r="C59" s="26" t="s">
        <v>730</v>
      </c>
      <c r="D59" s="27" t="s">
        <v>731</v>
      </c>
      <c r="E59" s="28" t="s">
        <v>732</v>
      </c>
      <c r="F59" s="29" t="s">
        <v>733</v>
      </c>
      <c r="G59" s="30">
        <v>1</v>
      </c>
      <c r="H59" s="31">
        <v>6</v>
      </c>
      <c r="I59" s="32">
        <v>2</v>
      </c>
      <c r="J59" s="33" t="s">
        <v>36</v>
      </c>
      <c r="K59" s="34" t="s">
        <v>734</v>
      </c>
      <c r="L59" s="35" t="s">
        <v>183</v>
      </c>
      <c r="M59" s="36" t="s">
        <v>735</v>
      </c>
      <c r="N59" s="37" t="s">
        <v>736</v>
      </c>
      <c r="O59" s="38" t="s">
        <v>186</v>
      </c>
      <c r="P59" s="39" t="s">
        <v>50</v>
      </c>
      <c r="Q59" s="40" t="s">
        <v>575</v>
      </c>
      <c r="R59" s="41" t="s">
        <v>35</v>
      </c>
      <c r="S59" s="42" t="s">
        <v>36</v>
      </c>
      <c r="T59" s="43" t="s">
        <v>737</v>
      </c>
      <c r="U59" s="45" t="str">
        <f>HYPERLINK("https://my.pitchbook.com?p=41957-65P", "View people online")</f>
        <v>View people online</v>
      </c>
    </row>
    <row r="60" spans="1:21" x14ac:dyDescent="0.3">
      <c r="A60" s="4" t="s">
        <v>738</v>
      </c>
      <c r="B60" s="5" t="s">
        <v>739</v>
      </c>
      <c r="C60" s="6" t="s">
        <v>740</v>
      </c>
      <c r="D60" s="7" t="s">
        <v>741</v>
      </c>
      <c r="E60" s="8" t="s">
        <v>742</v>
      </c>
      <c r="F60" s="9" t="s">
        <v>743</v>
      </c>
      <c r="G60" s="10" t="s">
        <v>36</v>
      </c>
      <c r="H60" s="11">
        <v>6</v>
      </c>
      <c r="I60" s="12">
        <v>5</v>
      </c>
      <c r="J60" s="13" t="s">
        <v>744</v>
      </c>
      <c r="K60" s="14" t="s">
        <v>745</v>
      </c>
      <c r="L60" s="15" t="s">
        <v>464</v>
      </c>
      <c r="M60" s="16" t="s">
        <v>746</v>
      </c>
      <c r="N60" s="17" t="s">
        <v>747</v>
      </c>
      <c r="O60" s="18" t="s">
        <v>467</v>
      </c>
      <c r="P60" s="19" t="s">
        <v>468</v>
      </c>
      <c r="Q60" s="20" t="s">
        <v>748</v>
      </c>
      <c r="R60" s="21" t="s">
        <v>35</v>
      </c>
      <c r="S60" s="22" t="s">
        <v>36</v>
      </c>
      <c r="T60" s="23" t="s">
        <v>749</v>
      </c>
      <c r="U60" s="44" t="str">
        <f>HYPERLINK("https://my.pitchbook.com?p=38228-14P", "View people online")</f>
        <v>View people online</v>
      </c>
    </row>
    <row r="61" spans="1:21" x14ac:dyDescent="0.3">
      <c r="A61" s="24" t="s">
        <v>750</v>
      </c>
      <c r="B61" s="25" t="s">
        <v>751</v>
      </c>
      <c r="C61" s="26" t="s">
        <v>722</v>
      </c>
      <c r="D61" s="27" t="s">
        <v>752</v>
      </c>
      <c r="E61" s="28" t="s">
        <v>753</v>
      </c>
      <c r="F61" s="29" t="s">
        <v>754</v>
      </c>
      <c r="G61" s="30">
        <v>1</v>
      </c>
      <c r="H61" s="31">
        <v>6</v>
      </c>
      <c r="I61" s="32">
        <v>1</v>
      </c>
      <c r="J61" s="33" t="s">
        <v>36</v>
      </c>
      <c r="K61" s="34" t="s">
        <v>755</v>
      </c>
      <c r="L61" s="35" t="s">
        <v>397</v>
      </c>
      <c r="M61" s="36" t="s">
        <v>756</v>
      </c>
      <c r="N61" s="37" t="s">
        <v>757</v>
      </c>
      <c r="O61" s="38" t="s">
        <v>400</v>
      </c>
      <c r="P61" s="39" t="s">
        <v>400</v>
      </c>
      <c r="Q61" s="40" t="s">
        <v>758</v>
      </c>
      <c r="R61" s="41" t="s">
        <v>35</v>
      </c>
      <c r="S61" s="42" t="s">
        <v>36</v>
      </c>
      <c r="T61" s="43" t="s">
        <v>759</v>
      </c>
      <c r="U61" s="45" t="str">
        <f>HYPERLINK("https://my.pitchbook.com?p=40737-34P", "View people online")</f>
        <v>View people online</v>
      </c>
    </row>
    <row r="62" spans="1:21" x14ac:dyDescent="0.3">
      <c r="A62" s="4" t="s">
        <v>760</v>
      </c>
      <c r="B62" s="5" t="s">
        <v>761</v>
      </c>
      <c r="C62" s="6" t="s">
        <v>762</v>
      </c>
      <c r="D62" s="7" t="s">
        <v>139</v>
      </c>
      <c r="E62" s="8" t="s">
        <v>128</v>
      </c>
      <c r="F62" s="9" t="s">
        <v>763</v>
      </c>
      <c r="G62" s="10" t="s">
        <v>36</v>
      </c>
      <c r="H62" s="11">
        <v>6</v>
      </c>
      <c r="I62" s="12">
        <v>5</v>
      </c>
      <c r="J62" s="13" t="s">
        <v>764</v>
      </c>
      <c r="K62" s="14" t="s">
        <v>765</v>
      </c>
      <c r="L62" s="15" t="s">
        <v>183</v>
      </c>
      <c r="M62" s="16" t="s">
        <v>766</v>
      </c>
      <c r="N62" s="17" t="s">
        <v>514</v>
      </c>
      <c r="O62" s="18" t="s">
        <v>186</v>
      </c>
      <c r="P62" s="19" t="s">
        <v>50</v>
      </c>
      <c r="Q62" s="20" t="s">
        <v>718</v>
      </c>
      <c r="R62" s="21" t="s">
        <v>35</v>
      </c>
      <c r="S62" s="22" t="s">
        <v>36</v>
      </c>
      <c r="T62" s="23" t="s">
        <v>767</v>
      </c>
      <c r="U62" s="44" t="str">
        <f>HYPERLINK("https://my.pitchbook.com?p=131155-21P", "View people online")</f>
        <v>View people online</v>
      </c>
    </row>
    <row r="63" spans="1:21" x14ac:dyDescent="0.3">
      <c r="A63" s="24" t="s">
        <v>768</v>
      </c>
      <c r="B63" s="25" t="s">
        <v>769</v>
      </c>
      <c r="C63" s="26" t="s">
        <v>770</v>
      </c>
      <c r="D63" s="27" t="s">
        <v>771</v>
      </c>
      <c r="E63" s="28" t="s">
        <v>772</v>
      </c>
      <c r="F63" s="29" t="s">
        <v>773</v>
      </c>
      <c r="G63" s="30">
        <v>2</v>
      </c>
      <c r="H63" s="31">
        <v>6</v>
      </c>
      <c r="I63" s="32">
        <v>2</v>
      </c>
      <c r="J63" s="33" t="s">
        <v>36</v>
      </c>
      <c r="K63" s="34" t="s">
        <v>774</v>
      </c>
      <c r="L63" s="35" t="s">
        <v>224</v>
      </c>
      <c r="M63" s="36" t="s">
        <v>775</v>
      </c>
      <c r="N63" s="37" t="s">
        <v>36</v>
      </c>
      <c r="O63" s="38" t="s">
        <v>226</v>
      </c>
      <c r="P63" s="39" t="s">
        <v>50</v>
      </c>
      <c r="Q63" s="40" t="s">
        <v>776</v>
      </c>
      <c r="R63" s="41" t="s">
        <v>35</v>
      </c>
      <c r="S63" s="42" t="s">
        <v>36</v>
      </c>
      <c r="T63" s="43" t="s">
        <v>777</v>
      </c>
      <c r="U63" s="45" t="str">
        <f>HYPERLINK("https://my.pitchbook.com?p=98508-16P", "View people online")</f>
        <v>View people online</v>
      </c>
    </row>
    <row r="64" spans="1:21" x14ac:dyDescent="0.3">
      <c r="A64" s="4" t="s">
        <v>778</v>
      </c>
      <c r="B64" s="5" t="s">
        <v>779</v>
      </c>
      <c r="C64" s="6" t="s">
        <v>780</v>
      </c>
      <c r="D64" s="7" t="s">
        <v>781</v>
      </c>
      <c r="E64" s="8" t="s">
        <v>42</v>
      </c>
      <c r="F64" s="9" t="s">
        <v>782</v>
      </c>
      <c r="G64" s="10">
        <v>1</v>
      </c>
      <c r="H64" s="11">
        <v>6</v>
      </c>
      <c r="I64" s="12">
        <v>3</v>
      </c>
      <c r="J64" s="13" t="s">
        <v>783</v>
      </c>
      <c r="K64" s="14" t="s">
        <v>784</v>
      </c>
      <c r="L64" s="15" t="s">
        <v>397</v>
      </c>
      <c r="M64" s="16" t="s">
        <v>785</v>
      </c>
      <c r="N64" s="17" t="s">
        <v>786</v>
      </c>
      <c r="O64" s="18" t="s">
        <v>400</v>
      </c>
      <c r="P64" s="19" t="s">
        <v>400</v>
      </c>
      <c r="Q64" s="20" t="s">
        <v>787</v>
      </c>
      <c r="R64" s="21" t="s">
        <v>35</v>
      </c>
      <c r="S64" s="22" t="s">
        <v>36</v>
      </c>
      <c r="T64" s="23" t="s">
        <v>788</v>
      </c>
      <c r="U64" s="44" t="str">
        <f>HYPERLINK("https://my.pitchbook.com?p=141149-17P", "View people online")</f>
        <v>View people online</v>
      </c>
    </row>
    <row r="65" spans="1:21" x14ac:dyDescent="0.3">
      <c r="A65" s="24" t="s">
        <v>789</v>
      </c>
      <c r="B65" s="25" t="s">
        <v>790</v>
      </c>
      <c r="C65" s="26" t="s">
        <v>791</v>
      </c>
      <c r="D65" s="27" t="s">
        <v>792</v>
      </c>
      <c r="E65" s="28" t="s">
        <v>793</v>
      </c>
      <c r="F65" s="29" t="s">
        <v>794</v>
      </c>
      <c r="G65" s="30" t="s">
        <v>36</v>
      </c>
      <c r="H65" s="31">
        <v>6</v>
      </c>
      <c r="I65" s="32">
        <v>3</v>
      </c>
      <c r="J65" s="33" t="s">
        <v>36</v>
      </c>
      <c r="K65" s="34" t="s">
        <v>795</v>
      </c>
      <c r="L65" s="35" t="s">
        <v>224</v>
      </c>
      <c r="M65" s="36" t="s">
        <v>36</v>
      </c>
      <c r="N65" s="37" t="s">
        <v>36</v>
      </c>
      <c r="O65" s="38" t="s">
        <v>226</v>
      </c>
      <c r="P65" s="39" t="s">
        <v>50</v>
      </c>
      <c r="Q65" s="40" t="s">
        <v>36</v>
      </c>
      <c r="R65" s="41" t="s">
        <v>35</v>
      </c>
      <c r="S65" s="42" t="s">
        <v>36</v>
      </c>
      <c r="T65" s="43" t="s">
        <v>796</v>
      </c>
      <c r="U65" s="45" t="str">
        <f>HYPERLINK("https://my.pitchbook.com?p=36384-94P", "View people online")</f>
        <v>View people online</v>
      </c>
    </row>
    <row r="66" spans="1:21" x14ac:dyDescent="0.3">
      <c r="A66" s="4" t="s">
        <v>797</v>
      </c>
      <c r="B66" s="5" t="s">
        <v>798</v>
      </c>
      <c r="C66" s="6" t="s">
        <v>799</v>
      </c>
      <c r="D66" s="7" t="s">
        <v>800</v>
      </c>
      <c r="E66" s="8" t="s">
        <v>86</v>
      </c>
      <c r="F66" s="9" t="s">
        <v>801</v>
      </c>
      <c r="G66" s="10">
        <v>1</v>
      </c>
      <c r="H66" s="11">
        <v>6</v>
      </c>
      <c r="I66" s="12">
        <v>1</v>
      </c>
      <c r="J66" s="13" t="s">
        <v>802</v>
      </c>
      <c r="K66" s="14" t="s">
        <v>803</v>
      </c>
      <c r="L66" s="15" t="s">
        <v>804</v>
      </c>
      <c r="M66" s="16" t="s">
        <v>805</v>
      </c>
      <c r="N66" s="17" t="s">
        <v>806</v>
      </c>
      <c r="O66" s="18" t="s">
        <v>807</v>
      </c>
      <c r="P66" s="19" t="s">
        <v>808</v>
      </c>
      <c r="Q66" s="20" t="s">
        <v>809</v>
      </c>
      <c r="R66" s="21" t="s">
        <v>35</v>
      </c>
      <c r="S66" s="22" t="s">
        <v>36</v>
      </c>
      <c r="T66" s="23" t="s">
        <v>810</v>
      </c>
      <c r="U66" s="44" t="str">
        <f>HYPERLINK("https://my.pitchbook.com?p=38099-89P", "View people online")</f>
        <v>View people online</v>
      </c>
    </row>
    <row r="67" spans="1:21" x14ac:dyDescent="0.3">
      <c r="A67" s="24" t="s">
        <v>811</v>
      </c>
      <c r="B67" s="25" t="s">
        <v>812</v>
      </c>
      <c r="C67" s="26" t="s">
        <v>813</v>
      </c>
      <c r="D67" s="27" t="s">
        <v>814</v>
      </c>
      <c r="E67" s="28" t="s">
        <v>86</v>
      </c>
      <c r="F67" s="29" t="s">
        <v>815</v>
      </c>
      <c r="G67" s="30" t="s">
        <v>36</v>
      </c>
      <c r="H67" s="31">
        <v>6</v>
      </c>
      <c r="I67" s="32">
        <v>3</v>
      </c>
      <c r="J67" s="33" t="s">
        <v>816</v>
      </c>
      <c r="K67" s="34" t="s">
        <v>817</v>
      </c>
      <c r="L67" s="35" t="s">
        <v>818</v>
      </c>
      <c r="M67" s="36" t="s">
        <v>819</v>
      </c>
      <c r="N67" s="37" t="s">
        <v>820</v>
      </c>
      <c r="O67" s="38" t="s">
        <v>821</v>
      </c>
      <c r="P67" s="39" t="s">
        <v>50</v>
      </c>
      <c r="Q67" s="40" t="s">
        <v>822</v>
      </c>
      <c r="R67" s="41" t="s">
        <v>35</v>
      </c>
      <c r="S67" s="42" t="s">
        <v>36</v>
      </c>
      <c r="T67" s="43" t="s">
        <v>823</v>
      </c>
      <c r="U67" s="45" t="str">
        <f>HYPERLINK("https://my.pitchbook.com?p=54682-39P", "View people online")</f>
        <v>View people online</v>
      </c>
    </row>
    <row r="68" spans="1:21" x14ac:dyDescent="0.3">
      <c r="A68" s="4" t="s">
        <v>824</v>
      </c>
      <c r="B68" s="5" t="s">
        <v>825</v>
      </c>
      <c r="C68" s="6" t="s">
        <v>826</v>
      </c>
      <c r="D68" s="7" t="s">
        <v>827</v>
      </c>
      <c r="E68" s="8" t="s">
        <v>340</v>
      </c>
      <c r="F68" s="9" t="s">
        <v>828</v>
      </c>
      <c r="G68" s="10">
        <v>6</v>
      </c>
      <c r="H68" s="11">
        <v>6</v>
      </c>
      <c r="I68" s="12" t="s">
        <v>36</v>
      </c>
      <c r="J68" s="13" t="s">
        <v>829</v>
      </c>
      <c r="K68" s="14" t="s">
        <v>830</v>
      </c>
      <c r="L68" s="15" t="s">
        <v>183</v>
      </c>
      <c r="M68" s="16" t="s">
        <v>831</v>
      </c>
      <c r="N68" s="17" t="s">
        <v>832</v>
      </c>
      <c r="O68" s="18" t="s">
        <v>186</v>
      </c>
      <c r="P68" s="19" t="s">
        <v>50</v>
      </c>
      <c r="Q68" s="20" t="s">
        <v>147</v>
      </c>
      <c r="R68" s="21" t="s">
        <v>35</v>
      </c>
      <c r="S68" s="22" t="s">
        <v>36</v>
      </c>
      <c r="T68" s="23" t="s">
        <v>833</v>
      </c>
      <c r="U68" s="44" t="str">
        <f>HYPERLINK("https://my.pitchbook.com?p=60138-55P", "View people online")</f>
        <v>View people online</v>
      </c>
    </row>
    <row r="69" spans="1:21" x14ac:dyDescent="0.3">
      <c r="A69" s="24" t="s">
        <v>834</v>
      </c>
      <c r="B69" s="25" t="s">
        <v>835</v>
      </c>
      <c r="C69" s="26" t="s">
        <v>836</v>
      </c>
      <c r="D69" s="27" t="s">
        <v>630</v>
      </c>
      <c r="E69" s="28" t="s">
        <v>179</v>
      </c>
      <c r="F69" s="29" t="s">
        <v>837</v>
      </c>
      <c r="G69" s="30">
        <v>1</v>
      </c>
      <c r="H69" s="31">
        <v>5</v>
      </c>
      <c r="I69" s="32">
        <v>1</v>
      </c>
      <c r="J69" s="33" t="s">
        <v>36</v>
      </c>
      <c r="K69" s="34" t="s">
        <v>36</v>
      </c>
      <c r="L69" s="35" t="s">
        <v>210</v>
      </c>
      <c r="M69" s="36" t="s">
        <v>838</v>
      </c>
      <c r="N69" s="37" t="s">
        <v>839</v>
      </c>
      <c r="O69" s="38" t="s">
        <v>213</v>
      </c>
      <c r="P69" s="39" t="s">
        <v>50</v>
      </c>
      <c r="Q69" s="40" t="s">
        <v>840</v>
      </c>
      <c r="R69" s="41" t="s">
        <v>35</v>
      </c>
      <c r="S69" s="42" t="s">
        <v>36</v>
      </c>
      <c r="T69" s="43" t="s">
        <v>841</v>
      </c>
      <c r="U69" s="45" t="str">
        <f>HYPERLINK("https://my.pitchbook.com?p=42421-60P", "View people online")</f>
        <v>View people online</v>
      </c>
    </row>
    <row r="70" spans="1:21" x14ac:dyDescent="0.3">
      <c r="A70" s="4" t="s">
        <v>842</v>
      </c>
      <c r="B70" s="5" t="s">
        <v>843</v>
      </c>
      <c r="C70" s="6" t="s">
        <v>722</v>
      </c>
      <c r="D70" s="7" t="s">
        <v>844</v>
      </c>
      <c r="E70" s="8" t="s">
        <v>314</v>
      </c>
      <c r="F70" s="9" t="s">
        <v>845</v>
      </c>
      <c r="G70" s="10">
        <v>2</v>
      </c>
      <c r="H70" s="11">
        <v>5</v>
      </c>
      <c r="I70" s="12">
        <v>1</v>
      </c>
      <c r="J70" s="13" t="s">
        <v>846</v>
      </c>
      <c r="K70" s="14" t="s">
        <v>847</v>
      </c>
      <c r="L70" s="15" t="s">
        <v>818</v>
      </c>
      <c r="M70" s="16" t="s">
        <v>848</v>
      </c>
      <c r="N70" s="17" t="s">
        <v>849</v>
      </c>
      <c r="O70" s="18" t="s">
        <v>821</v>
      </c>
      <c r="P70" s="19" t="s">
        <v>50</v>
      </c>
      <c r="Q70" s="20" t="s">
        <v>850</v>
      </c>
      <c r="R70" s="21" t="s">
        <v>35</v>
      </c>
      <c r="S70" s="22" t="s">
        <v>36</v>
      </c>
      <c r="T70" s="23" t="s">
        <v>851</v>
      </c>
      <c r="U70" s="44" t="str">
        <f>HYPERLINK("https://my.pitchbook.com?p=66288-88P", "View people online")</f>
        <v>View people online</v>
      </c>
    </row>
    <row r="71" spans="1:21" x14ac:dyDescent="0.3">
      <c r="A71" s="24" t="s">
        <v>852</v>
      </c>
      <c r="B71" s="25" t="s">
        <v>853</v>
      </c>
      <c r="C71" s="26" t="s">
        <v>854</v>
      </c>
      <c r="D71" s="27" t="s">
        <v>855</v>
      </c>
      <c r="E71" s="28" t="s">
        <v>128</v>
      </c>
      <c r="F71" s="29" t="s">
        <v>856</v>
      </c>
      <c r="G71" s="30" t="s">
        <v>36</v>
      </c>
      <c r="H71" s="31">
        <v>5</v>
      </c>
      <c r="I71" s="32">
        <v>3</v>
      </c>
      <c r="J71" s="33" t="s">
        <v>36</v>
      </c>
      <c r="K71" s="34" t="s">
        <v>857</v>
      </c>
      <c r="L71" s="35" t="s">
        <v>804</v>
      </c>
      <c r="M71" s="36" t="s">
        <v>36</v>
      </c>
      <c r="N71" s="37" t="s">
        <v>36</v>
      </c>
      <c r="O71" s="38" t="s">
        <v>807</v>
      </c>
      <c r="P71" s="39" t="s">
        <v>808</v>
      </c>
      <c r="Q71" s="40" t="s">
        <v>36</v>
      </c>
      <c r="R71" s="41" t="s">
        <v>35</v>
      </c>
      <c r="S71" s="42" t="s">
        <v>36</v>
      </c>
      <c r="T71" s="43" t="s">
        <v>858</v>
      </c>
      <c r="U71" s="45" t="str">
        <f>HYPERLINK("https://my.pitchbook.com?p=42268-15P", "View people online")</f>
        <v>View people online</v>
      </c>
    </row>
    <row r="72" spans="1:21" x14ac:dyDescent="0.3">
      <c r="A72" s="4" t="s">
        <v>859</v>
      </c>
      <c r="B72" s="5" t="s">
        <v>860</v>
      </c>
      <c r="C72" s="6" t="s">
        <v>861</v>
      </c>
      <c r="D72" s="7" t="s">
        <v>862</v>
      </c>
      <c r="E72" s="8" t="s">
        <v>863</v>
      </c>
      <c r="F72" s="9" t="s">
        <v>864</v>
      </c>
      <c r="G72" s="10" t="s">
        <v>36</v>
      </c>
      <c r="H72" s="11">
        <v>5</v>
      </c>
      <c r="I72" s="12">
        <v>3</v>
      </c>
      <c r="J72" s="13" t="s">
        <v>865</v>
      </c>
      <c r="K72" s="14" t="s">
        <v>866</v>
      </c>
      <c r="L72" s="15" t="s">
        <v>250</v>
      </c>
      <c r="M72" s="16" t="s">
        <v>867</v>
      </c>
      <c r="N72" s="17" t="s">
        <v>36</v>
      </c>
      <c r="O72" s="18" t="s">
        <v>253</v>
      </c>
      <c r="P72" s="19" t="s">
        <v>50</v>
      </c>
      <c r="Q72" s="20" t="s">
        <v>868</v>
      </c>
      <c r="R72" s="21" t="s">
        <v>35</v>
      </c>
      <c r="S72" s="22" t="s">
        <v>36</v>
      </c>
      <c r="T72" s="23" t="s">
        <v>869</v>
      </c>
      <c r="U72" s="44" t="str">
        <f>HYPERLINK("https://my.pitchbook.com?p=88579-63P", "View people online")</f>
        <v>View people online</v>
      </c>
    </row>
    <row r="73" spans="1:21" x14ac:dyDescent="0.3">
      <c r="A73" s="24" t="s">
        <v>870</v>
      </c>
      <c r="B73" s="25" t="s">
        <v>871</v>
      </c>
      <c r="C73" s="26" t="s">
        <v>872</v>
      </c>
      <c r="D73" s="27" t="s">
        <v>873</v>
      </c>
      <c r="E73" s="28" t="s">
        <v>874</v>
      </c>
      <c r="F73" s="29" t="s">
        <v>875</v>
      </c>
      <c r="G73" s="30" t="s">
        <v>36</v>
      </c>
      <c r="H73" s="31">
        <v>5</v>
      </c>
      <c r="I73" s="32">
        <v>3</v>
      </c>
      <c r="J73" s="33" t="s">
        <v>876</v>
      </c>
      <c r="K73" s="34" t="s">
        <v>877</v>
      </c>
      <c r="L73" s="35" t="s">
        <v>183</v>
      </c>
      <c r="M73" s="36" t="s">
        <v>878</v>
      </c>
      <c r="N73" s="37" t="s">
        <v>879</v>
      </c>
      <c r="O73" s="38" t="s">
        <v>186</v>
      </c>
      <c r="P73" s="39" t="s">
        <v>50</v>
      </c>
      <c r="Q73" s="40" t="s">
        <v>266</v>
      </c>
      <c r="R73" s="41" t="s">
        <v>35</v>
      </c>
      <c r="S73" s="42" t="s">
        <v>880</v>
      </c>
      <c r="T73" s="43" t="s">
        <v>881</v>
      </c>
      <c r="U73" s="45" t="str">
        <f>HYPERLINK("https://my.pitchbook.com?p=25986-97P", "View people online")</f>
        <v>View people online</v>
      </c>
    </row>
    <row r="74" spans="1:21" x14ac:dyDescent="0.3">
      <c r="A74" s="4" t="s">
        <v>882</v>
      </c>
      <c r="B74" s="5" t="s">
        <v>883</v>
      </c>
      <c r="C74" s="6" t="s">
        <v>884</v>
      </c>
      <c r="D74" s="7" t="s">
        <v>885</v>
      </c>
      <c r="E74" s="8" t="s">
        <v>886</v>
      </c>
      <c r="F74" s="9" t="s">
        <v>887</v>
      </c>
      <c r="G74" s="10">
        <v>4</v>
      </c>
      <c r="H74" s="11">
        <v>5</v>
      </c>
      <c r="I74" s="12" t="s">
        <v>36</v>
      </c>
      <c r="J74" s="13" t="s">
        <v>888</v>
      </c>
      <c r="K74" s="14" t="s">
        <v>889</v>
      </c>
      <c r="L74" s="15" t="s">
        <v>397</v>
      </c>
      <c r="M74" s="16" t="s">
        <v>890</v>
      </c>
      <c r="N74" s="17" t="s">
        <v>891</v>
      </c>
      <c r="O74" s="18" t="s">
        <v>400</v>
      </c>
      <c r="P74" s="19" t="s">
        <v>400</v>
      </c>
      <c r="Q74" s="20" t="s">
        <v>892</v>
      </c>
      <c r="R74" s="21" t="s">
        <v>35</v>
      </c>
      <c r="S74" s="22" t="s">
        <v>36</v>
      </c>
      <c r="T74" s="23" t="s">
        <v>893</v>
      </c>
      <c r="U74" s="44" t="str">
        <f>HYPERLINK("https://my.pitchbook.com?p=40864-51P", "View people online")</f>
        <v>View people online</v>
      </c>
    </row>
    <row r="75" spans="1:21" x14ac:dyDescent="0.3">
      <c r="A75" s="24" t="s">
        <v>894</v>
      </c>
      <c r="B75" s="25" t="s">
        <v>895</v>
      </c>
      <c r="C75" s="26" t="s">
        <v>896</v>
      </c>
      <c r="D75" s="27" t="s">
        <v>897</v>
      </c>
      <c r="E75" s="28" t="s">
        <v>898</v>
      </c>
      <c r="F75" s="29" t="s">
        <v>899</v>
      </c>
      <c r="G75" s="30" t="s">
        <v>36</v>
      </c>
      <c r="H75" s="31">
        <v>5</v>
      </c>
      <c r="I75" s="32">
        <v>3</v>
      </c>
      <c r="J75" s="33" t="s">
        <v>900</v>
      </c>
      <c r="K75" s="34" t="s">
        <v>901</v>
      </c>
      <c r="L75" s="35" t="s">
        <v>183</v>
      </c>
      <c r="M75" s="36" t="s">
        <v>902</v>
      </c>
      <c r="N75" s="37" t="s">
        <v>903</v>
      </c>
      <c r="O75" s="38" t="s">
        <v>186</v>
      </c>
      <c r="P75" s="39" t="s">
        <v>50</v>
      </c>
      <c r="Q75" s="40" t="s">
        <v>266</v>
      </c>
      <c r="R75" s="41" t="s">
        <v>35</v>
      </c>
      <c r="S75" s="42" t="s">
        <v>904</v>
      </c>
      <c r="T75" s="43" t="s">
        <v>905</v>
      </c>
      <c r="U75" s="45" t="str">
        <f>HYPERLINK("https://my.pitchbook.com?p=38250-10P", "View people online")</f>
        <v>View people online</v>
      </c>
    </row>
    <row r="76" spans="1:21" x14ac:dyDescent="0.3">
      <c r="A76" s="4" t="s">
        <v>906</v>
      </c>
      <c r="B76" s="5" t="s">
        <v>907</v>
      </c>
      <c r="C76" s="6" t="s">
        <v>908</v>
      </c>
      <c r="D76" s="7" t="s">
        <v>909</v>
      </c>
      <c r="E76" s="8" t="s">
        <v>340</v>
      </c>
      <c r="F76" s="9" t="s">
        <v>910</v>
      </c>
      <c r="G76" s="10">
        <v>4</v>
      </c>
      <c r="H76" s="11">
        <v>5</v>
      </c>
      <c r="I76" s="12" t="s">
        <v>36</v>
      </c>
      <c r="J76" s="13" t="s">
        <v>911</v>
      </c>
      <c r="K76" s="14" t="s">
        <v>36</v>
      </c>
      <c r="L76" s="15" t="s">
        <v>46</v>
      </c>
      <c r="M76" s="16" t="s">
        <v>912</v>
      </c>
      <c r="N76" s="17" t="s">
        <v>36</v>
      </c>
      <c r="O76" s="18" t="s">
        <v>49</v>
      </c>
      <c r="P76" s="19" t="s">
        <v>50</v>
      </c>
      <c r="Q76" s="20" t="s">
        <v>913</v>
      </c>
      <c r="R76" s="21" t="s">
        <v>35</v>
      </c>
      <c r="S76" s="22" t="s">
        <v>36</v>
      </c>
      <c r="T76" s="23" t="s">
        <v>914</v>
      </c>
      <c r="U76" s="44" t="str">
        <f>HYPERLINK("https://my.pitchbook.com?p=104044-24P", "View people online")</f>
        <v>View people online</v>
      </c>
    </row>
    <row r="77" spans="1:21" x14ac:dyDescent="0.3">
      <c r="A77" s="24" t="s">
        <v>915</v>
      </c>
      <c r="B77" s="25" t="s">
        <v>916</v>
      </c>
      <c r="C77" s="26" t="s">
        <v>917</v>
      </c>
      <c r="D77" s="27" t="s">
        <v>918</v>
      </c>
      <c r="E77" s="28" t="s">
        <v>919</v>
      </c>
      <c r="F77" s="29" t="s">
        <v>920</v>
      </c>
      <c r="G77" s="30">
        <v>1</v>
      </c>
      <c r="H77" s="31">
        <v>5</v>
      </c>
      <c r="I77" s="32">
        <v>1</v>
      </c>
      <c r="J77" s="33" t="s">
        <v>921</v>
      </c>
      <c r="K77" s="34" t="s">
        <v>922</v>
      </c>
      <c r="L77" s="35" t="s">
        <v>295</v>
      </c>
      <c r="M77" s="36" t="s">
        <v>923</v>
      </c>
      <c r="N77" s="37" t="s">
        <v>924</v>
      </c>
      <c r="O77" s="38" t="s">
        <v>298</v>
      </c>
      <c r="P77" s="39" t="s">
        <v>50</v>
      </c>
      <c r="Q77" s="40" t="s">
        <v>925</v>
      </c>
      <c r="R77" s="41" t="s">
        <v>35</v>
      </c>
      <c r="S77" s="42" t="s">
        <v>926</v>
      </c>
      <c r="T77" s="43" t="s">
        <v>927</v>
      </c>
      <c r="U77" s="45" t="str">
        <f>HYPERLINK("https://my.pitchbook.com?p=86661-19P", "View people online")</f>
        <v>View people online</v>
      </c>
    </row>
    <row r="78" spans="1:21" x14ac:dyDescent="0.3">
      <c r="A78" s="4" t="s">
        <v>928</v>
      </c>
      <c r="B78" s="5" t="s">
        <v>929</v>
      </c>
      <c r="C78" s="6" t="s">
        <v>930</v>
      </c>
      <c r="D78" s="7" t="s">
        <v>931</v>
      </c>
      <c r="E78" s="8" t="s">
        <v>179</v>
      </c>
      <c r="F78" s="9" t="s">
        <v>932</v>
      </c>
      <c r="G78" s="10" t="s">
        <v>36</v>
      </c>
      <c r="H78" s="11">
        <v>5</v>
      </c>
      <c r="I78" s="12">
        <v>1</v>
      </c>
      <c r="J78" s="13" t="s">
        <v>933</v>
      </c>
      <c r="K78" s="14" t="s">
        <v>934</v>
      </c>
      <c r="L78" s="15" t="s">
        <v>679</v>
      </c>
      <c r="M78" s="16" t="s">
        <v>935</v>
      </c>
      <c r="N78" s="17" t="s">
        <v>566</v>
      </c>
      <c r="O78" s="18" t="s">
        <v>681</v>
      </c>
      <c r="P78" s="19" t="s">
        <v>682</v>
      </c>
      <c r="Q78" s="20" t="s">
        <v>936</v>
      </c>
      <c r="R78" s="21" t="s">
        <v>35</v>
      </c>
      <c r="S78" s="22" t="s">
        <v>36</v>
      </c>
      <c r="T78" s="23" t="s">
        <v>937</v>
      </c>
      <c r="U78" s="44" t="str">
        <f>HYPERLINK("https://my.pitchbook.com?p=35396-11P", "View people online")</f>
        <v>View people online</v>
      </c>
    </row>
    <row r="79" spans="1:21" x14ac:dyDescent="0.3">
      <c r="A79" s="24" t="s">
        <v>938</v>
      </c>
      <c r="B79" s="25" t="s">
        <v>939</v>
      </c>
      <c r="C79" s="26" t="s">
        <v>940</v>
      </c>
      <c r="D79" s="27" t="s">
        <v>941</v>
      </c>
      <c r="E79" s="28" t="s">
        <v>942</v>
      </c>
      <c r="F79" s="29" t="s">
        <v>943</v>
      </c>
      <c r="G79" s="30" t="s">
        <v>36</v>
      </c>
      <c r="H79" s="31">
        <v>5</v>
      </c>
      <c r="I79" s="32">
        <v>1</v>
      </c>
      <c r="J79" s="33" t="s">
        <v>944</v>
      </c>
      <c r="K79" s="34" t="s">
        <v>945</v>
      </c>
      <c r="L79" s="35" t="s">
        <v>464</v>
      </c>
      <c r="M79" s="36" t="s">
        <v>946</v>
      </c>
      <c r="N79" s="37" t="s">
        <v>307</v>
      </c>
      <c r="O79" s="38" t="s">
        <v>467</v>
      </c>
      <c r="P79" s="39" t="s">
        <v>468</v>
      </c>
      <c r="Q79" s="40" t="s">
        <v>947</v>
      </c>
      <c r="R79" s="41" t="s">
        <v>35</v>
      </c>
      <c r="S79" s="42" t="s">
        <v>36</v>
      </c>
      <c r="T79" s="43" t="s">
        <v>948</v>
      </c>
      <c r="U79" s="45" t="str">
        <f>HYPERLINK("https://my.pitchbook.com?p=108372-16P", "View people online")</f>
        <v>View people online</v>
      </c>
    </row>
    <row r="80" spans="1:21" x14ac:dyDescent="0.3">
      <c r="A80" s="4" t="s">
        <v>949</v>
      </c>
      <c r="B80" s="5" t="s">
        <v>950</v>
      </c>
      <c r="C80" s="6" t="s">
        <v>951</v>
      </c>
      <c r="D80" s="7" t="s">
        <v>952</v>
      </c>
      <c r="E80" s="8" t="s">
        <v>86</v>
      </c>
      <c r="F80" s="9" t="s">
        <v>953</v>
      </c>
      <c r="G80" s="10">
        <v>3</v>
      </c>
      <c r="H80" s="11">
        <v>5</v>
      </c>
      <c r="I80" s="12">
        <v>1</v>
      </c>
      <c r="J80" s="13" t="s">
        <v>954</v>
      </c>
      <c r="K80" s="14" t="s">
        <v>955</v>
      </c>
      <c r="L80" s="15" t="s">
        <v>183</v>
      </c>
      <c r="M80" s="16" t="s">
        <v>956</v>
      </c>
      <c r="N80" s="17" t="s">
        <v>36</v>
      </c>
      <c r="O80" s="18" t="s">
        <v>186</v>
      </c>
      <c r="P80" s="19" t="s">
        <v>50</v>
      </c>
      <c r="Q80" s="20" t="s">
        <v>957</v>
      </c>
      <c r="R80" s="21" t="s">
        <v>35</v>
      </c>
      <c r="S80" s="22" t="s">
        <v>36</v>
      </c>
      <c r="T80" s="23" t="s">
        <v>958</v>
      </c>
      <c r="U80" s="44" t="str">
        <f>HYPERLINK("https://my.pitchbook.com?p=41420-53P", "View people online")</f>
        <v>View people online</v>
      </c>
    </row>
    <row r="81" spans="1:21" x14ac:dyDescent="0.3">
      <c r="A81" s="24" t="s">
        <v>959</v>
      </c>
      <c r="B81" s="25" t="s">
        <v>960</v>
      </c>
      <c r="C81" s="26" t="s">
        <v>961</v>
      </c>
      <c r="D81" s="27" t="s">
        <v>962</v>
      </c>
      <c r="E81" s="28" t="s">
        <v>179</v>
      </c>
      <c r="F81" s="29" t="s">
        <v>963</v>
      </c>
      <c r="G81" s="30">
        <v>1</v>
      </c>
      <c r="H81" s="31">
        <v>5</v>
      </c>
      <c r="I81" s="32" t="s">
        <v>36</v>
      </c>
      <c r="J81" s="33" t="s">
        <v>964</v>
      </c>
      <c r="K81" s="34" t="s">
        <v>965</v>
      </c>
      <c r="L81" s="35" t="s">
        <v>966</v>
      </c>
      <c r="M81" s="36" t="s">
        <v>967</v>
      </c>
      <c r="N81" s="37" t="s">
        <v>806</v>
      </c>
      <c r="O81" s="38" t="s">
        <v>968</v>
      </c>
      <c r="P81" s="39" t="s">
        <v>50</v>
      </c>
      <c r="Q81" s="40" t="s">
        <v>969</v>
      </c>
      <c r="R81" s="41" t="s">
        <v>35</v>
      </c>
      <c r="S81" s="42" t="s">
        <v>36</v>
      </c>
      <c r="T81" s="43" t="s">
        <v>970</v>
      </c>
      <c r="U81" s="45" t="str">
        <f>HYPERLINK("https://my.pitchbook.com?p=42448-69P", "View people online")</f>
        <v>View people online</v>
      </c>
    </row>
    <row r="82" spans="1:21" x14ac:dyDescent="0.3">
      <c r="A82" s="4" t="s">
        <v>971</v>
      </c>
      <c r="B82" s="5" t="s">
        <v>972</v>
      </c>
      <c r="C82" s="6" t="s">
        <v>973</v>
      </c>
      <c r="D82" s="7" t="s">
        <v>406</v>
      </c>
      <c r="E82" s="8" t="s">
        <v>449</v>
      </c>
      <c r="F82" s="9" t="s">
        <v>974</v>
      </c>
      <c r="G82" s="10">
        <v>2</v>
      </c>
      <c r="H82" s="11">
        <v>5</v>
      </c>
      <c r="I82" s="12">
        <v>1</v>
      </c>
      <c r="J82" s="13" t="s">
        <v>975</v>
      </c>
      <c r="K82" s="14" t="s">
        <v>976</v>
      </c>
      <c r="L82" s="15" t="s">
        <v>210</v>
      </c>
      <c r="M82" s="16" t="s">
        <v>977</v>
      </c>
      <c r="N82" s="17" t="s">
        <v>978</v>
      </c>
      <c r="O82" s="18" t="s">
        <v>213</v>
      </c>
      <c r="P82" s="19" t="s">
        <v>50</v>
      </c>
      <c r="Q82" s="20" t="s">
        <v>979</v>
      </c>
      <c r="R82" s="21" t="s">
        <v>35</v>
      </c>
      <c r="S82" s="22" t="s">
        <v>980</v>
      </c>
      <c r="T82" s="23" t="s">
        <v>981</v>
      </c>
      <c r="U82" s="44" t="str">
        <f>HYPERLINK("https://my.pitchbook.com?p=38300-86P", "View people online")</f>
        <v>View people online</v>
      </c>
    </row>
    <row r="83" spans="1:21" x14ac:dyDescent="0.3">
      <c r="A83" s="24" t="s">
        <v>982</v>
      </c>
      <c r="B83" s="25" t="s">
        <v>983</v>
      </c>
      <c r="C83" s="26" t="s">
        <v>984</v>
      </c>
      <c r="D83" s="27" t="s">
        <v>247</v>
      </c>
      <c r="E83" s="28" t="s">
        <v>179</v>
      </c>
      <c r="F83" s="29" t="s">
        <v>985</v>
      </c>
      <c r="G83" s="30" t="s">
        <v>36</v>
      </c>
      <c r="H83" s="31">
        <v>5</v>
      </c>
      <c r="I83" s="32">
        <v>3</v>
      </c>
      <c r="J83" s="33" t="s">
        <v>986</v>
      </c>
      <c r="K83" s="34" t="s">
        <v>36</v>
      </c>
      <c r="L83" s="35" t="s">
        <v>183</v>
      </c>
      <c r="M83" s="36" t="s">
        <v>987</v>
      </c>
      <c r="N83" s="37" t="s">
        <v>988</v>
      </c>
      <c r="O83" s="38" t="s">
        <v>186</v>
      </c>
      <c r="P83" s="39" t="s">
        <v>50</v>
      </c>
      <c r="Q83" s="40" t="s">
        <v>444</v>
      </c>
      <c r="R83" s="41" t="s">
        <v>35</v>
      </c>
      <c r="S83" s="42" t="s">
        <v>36</v>
      </c>
      <c r="T83" s="43" t="s">
        <v>989</v>
      </c>
      <c r="U83" s="45" t="str">
        <f>HYPERLINK("https://my.pitchbook.com?p=129390-22P", "View people online")</f>
        <v>View people online</v>
      </c>
    </row>
    <row r="84" spans="1:21" x14ac:dyDescent="0.3">
      <c r="A84" s="4" t="s">
        <v>990</v>
      </c>
      <c r="B84" s="5" t="s">
        <v>991</v>
      </c>
      <c r="C84" s="6" t="s">
        <v>992</v>
      </c>
      <c r="D84" s="7" t="s">
        <v>247</v>
      </c>
      <c r="E84" s="8" t="s">
        <v>179</v>
      </c>
      <c r="F84" s="9" t="s">
        <v>993</v>
      </c>
      <c r="G84" s="10">
        <v>1</v>
      </c>
      <c r="H84" s="11">
        <v>5</v>
      </c>
      <c r="I84" s="12">
        <v>3</v>
      </c>
      <c r="J84" s="13" t="s">
        <v>994</v>
      </c>
      <c r="K84" s="14" t="s">
        <v>995</v>
      </c>
      <c r="L84" s="15" t="s">
        <v>183</v>
      </c>
      <c r="M84" s="16" t="s">
        <v>996</v>
      </c>
      <c r="N84" s="17" t="s">
        <v>997</v>
      </c>
      <c r="O84" s="18" t="s">
        <v>186</v>
      </c>
      <c r="P84" s="19" t="s">
        <v>50</v>
      </c>
      <c r="Q84" s="20" t="s">
        <v>266</v>
      </c>
      <c r="R84" s="21" t="s">
        <v>35</v>
      </c>
      <c r="S84" s="22" t="s">
        <v>36</v>
      </c>
      <c r="T84" s="23" t="s">
        <v>998</v>
      </c>
      <c r="U84" s="44" t="str">
        <f>HYPERLINK("https://my.pitchbook.com?p=47587-60P", "View people online")</f>
        <v>View people online</v>
      </c>
    </row>
    <row r="85" spans="1:21" x14ac:dyDescent="0.3">
      <c r="A85" s="24" t="s">
        <v>999</v>
      </c>
      <c r="B85" s="25" t="s">
        <v>1000</v>
      </c>
      <c r="C85" s="26" t="s">
        <v>1001</v>
      </c>
      <c r="D85" s="27" t="s">
        <v>1002</v>
      </c>
      <c r="E85" s="28" t="s">
        <v>153</v>
      </c>
      <c r="F85" s="29" t="s">
        <v>1003</v>
      </c>
      <c r="G85" s="30" t="s">
        <v>36</v>
      </c>
      <c r="H85" s="31">
        <v>5</v>
      </c>
      <c r="I85" s="32">
        <v>2</v>
      </c>
      <c r="J85" s="33" t="s">
        <v>1004</v>
      </c>
      <c r="K85" s="34" t="s">
        <v>1005</v>
      </c>
      <c r="L85" s="35" t="s">
        <v>183</v>
      </c>
      <c r="M85" s="36" t="s">
        <v>1006</v>
      </c>
      <c r="N85" s="37" t="s">
        <v>1007</v>
      </c>
      <c r="O85" s="38" t="s">
        <v>186</v>
      </c>
      <c r="P85" s="39" t="s">
        <v>50</v>
      </c>
      <c r="Q85" s="40" t="s">
        <v>575</v>
      </c>
      <c r="R85" s="41" t="s">
        <v>35</v>
      </c>
      <c r="S85" s="42" t="s">
        <v>36</v>
      </c>
      <c r="T85" s="43" t="s">
        <v>1008</v>
      </c>
      <c r="U85" s="45" t="str">
        <f>HYPERLINK("https://my.pitchbook.com?p=91073-35P", "View people online")</f>
        <v>View people online</v>
      </c>
    </row>
    <row r="86" spans="1:21" x14ac:dyDescent="0.3">
      <c r="A86" s="4" t="s">
        <v>1009</v>
      </c>
      <c r="B86" s="5" t="s">
        <v>1010</v>
      </c>
      <c r="C86" s="6" t="s">
        <v>1011</v>
      </c>
      <c r="D86" s="7" t="s">
        <v>1012</v>
      </c>
      <c r="E86" s="8" t="s">
        <v>179</v>
      </c>
      <c r="F86" s="9" t="s">
        <v>1013</v>
      </c>
      <c r="G86" s="10" t="s">
        <v>36</v>
      </c>
      <c r="H86" s="11">
        <v>5</v>
      </c>
      <c r="I86" s="12">
        <v>3</v>
      </c>
      <c r="J86" s="13" t="s">
        <v>36</v>
      </c>
      <c r="K86" s="14" t="s">
        <v>1014</v>
      </c>
      <c r="L86" s="15" t="s">
        <v>397</v>
      </c>
      <c r="M86" s="16" t="s">
        <v>1015</v>
      </c>
      <c r="N86" s="17" t="s">
        <v>1016</v>
      </c>
      <c r="O86" s="18" t="s">
        <v>400</v>
      </c>
      <c r="P86" s="19" t="s">
        <v>400</v>
      </c>
      <c r="Q86" s="20" t="s">
        <v>758</v>
      </c>
      <c r="R86" s="21" t="s">
        <v>35</v>
      </c>
      <c r="S86" s="22" t="s">
        <v>36</v>
      </c>
      <c r="T86" s="23" t="s">
        <v>1017</v>
      </c>
      <c r="U86" s="44" t="str">
        <f>HYPERLINK("https://my.pitchbook.com?p=51842-89P", "View people online")</f>
        <v>View people online</v>
      </c>
    </row>
    <row r="87" spans="1:21" x14ac:dyDescent="0.3">
      <c r="A87" s="24" t="s">
        <v>1018</v>
      </c>
      <c r="B87" s="25" t="s">
        <v>1019</v>
      </c>
      <c r="C87" s="26" t="s">
        <v>1020</v>
      </c>
      <c r="D87" s="27" t="s">
        <v>1021</v>
      </c>
      <c r="E87" s="28" t="s">
        <v>1022</v>
      </c>
      <c r="F87" s="29" t="s">
        <v>1023</v>
      </c>
      <c r="G87" s="30">
        <v>2</v>
      </c>
      <c r="H87" s="31">
        <v>5</v>
      </c>
      <c r="I87" s="32">
        <v>3</v>
      </c>
      <c r="J87" s="33" t="s">
        <v>1024</v>
      </c>
      <c r="K87" s="34" t="s">
        <v>1025</v>
      </c>
      <c r="L87" s="35" t="s">
        <v>1026</v>
      </c>
      <c r="M87" s="36" t="s">
        <v>1027</v>
      </c>
      <c r="N87" s="37" t="s">
        <v>1028</v>
      </c>
      <c r="O87" s="38" t="s">
        <v>1029</v>
      </c>
      <c r="P87" s="39" t="s">
        <v>1030</v>
      </c>
      <c r="Q87" s="40" t="s">
        <v>1031</v>
      </c>
      <c r="R87" s="41" t="s">
        <v>35</v>
      </c>
      <c r="S87" s="42" t="s">
        <v>36</v>
      </c>
      <c r="T87" s="43" t="s">
        <v>1032</v>
      </c>
      <c r="U87" s="45" t="str">
        <f>HYPERLINK("https://my.pitchbook.com?p=50627-08P", "View people online")</f>
        <v>View people online</v>
      </c>
    </row>
    <row r="88" spans="1:21" x14ac:dyDescent="0.3">
      <c r="A88" s="4" t="s">
        <v>1033</v>
      </c>
      <c r="B88" s="5" t="s">
        <v>1034</v>
      </c>
      <c r="C88" s="6" t="s">
        <v>1035</v>
      </c>
      <c r="D88" s="7" t="s">
        <v>1036</v>
      </c>
      <c r="E88" s="8" t="s">
        <v>179</v>
      </c>
      <c r="F88" s="9" t="s">
        <v>1037</v>
      </c>
      <c r="G88" s="10" t="s">
        <v>36</v>
      </c>
      <c r="H88" s="11">
        <v>5</v>
      </c>
      <c r="I88" s="12">
        <v>4</v>
      </c>
      <c r="J88" s="13" t="s">
        <v>1038</v>
      </c>
      <c r="K88" s="14" t="s">
        <v>1039</v>
      </c>
      <c r="L88" s="15" t="s">
        <v>818</v>
      </c>
      <c r="M88" s="16" t="s">
        <v>1040</v>
      </c>
      <c r="N88" s="17" t="s">
        <v>466</v>
      </c>
      <c r="O88" s="18" t="s">
        <v>821</v>
      </c>
      <c r="P88" s="19" t="s">
        <v>50</v>
      </c>
      <c r="Q88" s="20" t="s">
        <v>822</v>
      </c>
      <c r="R88" s="21" t="s">
        <v>35</v>
      </c>
      <c r="S88" s="22" t="s">
        <v>36</v>
      </c>
      <c r="T88" s="23" t="s">
        <v>1041</v>
      </c>
      <c r="U88" s="44" t="str">
        <f>HYPERLINK("https://my.pitchbook.com?p=87238-00P", "View people online")</f>
        <v>View people online</v>
      </c>
    </row>
    <row r="89" spans="1:21" x14ac:dyDescent="0.3">
      <c r="A89" s="24" t="s">
        <v>1042</v>
      </c>
      <c r="B89" s="25" t="s">
        <v>1043</v>
      </c>
      <c r="C89" s="26" t="s">
        <v>1044</v>
      </c>
      <c r="D89" s="27" t="s">
        <v>353</v>
      </c>
      <c r="E89" s="28" t="s">
        <v>438</v>
      </c>
      <c r="F89" s="29" t="s">
        <v>1045</v>
      </c>
      <c r="G89" s="30">
        <v>2</v>
      </c>
      <c r="H89" s="31">
        <v>4</v>
      </c>
      <c r="I89" s="32">
        <v>1</v>
      </c>
      <c r="J89" s="33" t="s">
        <v>1046</v>
      </c>
      <c r="K89" s="34" t="s">
        <v>1047</v>
      </c>
      <c r="L89" s="35" t="s">
        <v>397</v>
      </c>
      <c r="M89" s="36" t="s">
        <v>1048</v>
      </c>
      <c r="N89" s="37" t="s">
        <v>1049</v>
      </c>
      <c r="O89" s="38" t="s">
        <v>400</v>
      </c>
      <c r="P89" s="39" t="s">
        <v>400</v>
      </c>
      <c r="Q89" s="40" t="s">
        <v>1050</v>
      </c>
      <c r="R89" s="41" t="s">
        <v>35</v>
      </c>
      <c r="S89" s="42" t="s">
        <v>36</v>
      </c>
      <c r="T89" s="43" t="s">
        <v>1051</v>
      </c>
      <c r="U89" s="45" t="str">
        <f>HYPERLINK("https://my.pitchbook.com?p=66894-13P", "View people online")</f>
        <v>View people online</v>
      </c>
    </row>
    <row r="90" spans="1:21" x14ac:dyDescent="0.3">
      <c r="A90" s="4" t="s">
        <v>1052</v>
      </c>
      <c r="B90" s="5" t="s">
        <v>1053</v>
      </c>
      <c r="C90" s="6" t="s">
        <v>1054</v>
      </c>
      <c r="D90" s="7" t="s">
        <v>550</v>
      </c>
      <c r="E90" s="8" t="s">
        <v>1055</v>
      </c>
      <c r="F90" s="9" t="s">
        <v>1056</v>
      </c>
      <c r="G90" s="10">
        <v>1</v>
      </c>
      <c r="H90" s="11">
        <v>4</v>
      </c>
      <c r="I90" s="12">
        <v>2</v>
      </c>
      <c r="J90" s="13" t="s">
        <v>1057</v>
      </c>
      <c r="K90" s="14" t="s">
        <v>1058</v>
      </c>
      <c r="L90" s="15" t="s">
        <v>397</v>
      </c>
      <c r="M90" s="16" t="s">
        <v>1059</v>
      </c>
      <c r="N90" s="17" t="s">
        <v>1060</v>
      </c>
      <c r="O90" s="18" t="s">
        <v>400</v>
      </c>
      <c r="P90" s="19" t="s">
        <v>400</v>
      </c>
      <c r="Q90" s="20" t="s">
        <v>1061</v>
      </c>
      <c r="R90" s="21" t="s">
        <v>35</v>
      </c>
      <c r="S90" s="22" t="s">
        <v>36</v>
      </c>
      <c r="T90" s="23" t="s">
        <v>1062</v>
      </c>
      <c r="U90" s="44" t="str">
        <f>HYPERLINK("https://my.pitchbook.com?p=156110-59P", "View people online")</f>
        <v>View people online</v>
      </c>
    </row>
    <row r="91" spans="1:21" x14ac:dyDescent="0.3">
      <c r="A91" s="24" t="s">
        <v>1063</v>
      </c>
      <c r="B91" s="25" t="s">
        <v>1064</v>
      </c>
      <c r="C91" s="26" t="s">
        <v>1065</v>
      </c>
      <c r="D91" s="27" t="s">
        <v>1066</v>
      </c>
      <c r="E91" s="28" t="s">
        <v>140</v>
      </c>
      <c r="F91" s="29" t="s">
        <v>1067</v>
      </c>
      <c r="G91" s="30">
        <v>3</v>
      </c>
      <c r="H91" s="31">
        <v>4</v>
      </c>
      <c r="I91" s="32" t="s">
        <v>36</v>
      </c>
      <c r="J91" s="33" t="s">
        <v>1068</v>
      </c>
      <c r="K91" s="34" t="s">
        <v>36</v>
      </c>
      <c r="L91" s="35" t="s">
        <v>1069</v>
      </c>
      <c r="M91" s="36" t="s">
        <v>1070</v>
      </c>
      <c r="N91" s="37" t="s">
        <v>1071</v>
      </c>
      <c r="O91" s="38" t="s">
        <v>1072</v>
      </c>
      <c r="P91" s="39" t="s">
        <v>50</v>
      </c>
      <c r="Q91" s="40" t="s">
        <v>1073</v>
      </c>
      <c r="R91" s="41" t="s">
        <v>35</v>
      </c>
      <c r="S91" s="42" t="s">
        <v>1074</v>
      </c>
      <c r="T91" s="43" t="s">
        <v>1075</v>
      </c>
      <c r="U91" s="45" t="str">
        <f>HYPERLINK("https://my.pitchbook.com?p=43543-09P", "View people online")</f>
        <v>View people online</v>
      </c>
    </row>
    <row r="92" spans="1:21" x14ac:dyDescent="0.3">
      <c r="A92" s="4" t="s">
        <v>1076</v>
      </c>
      <c r="B92" s="5" t="s">
        <v>1077</v>
      </c>
      <c r="C92" s="6" t="s">
        <v>1078</v>
      </c>
      <c r="D92" s="7" t="s">
        <v>1079</v>
      </c>
      <c r="E92" s="8" t="s">
        <v>1080</v>
      </c>
      <c r="F92" s="9" t="s">
        <v>1081</v>
      </c>
      <c r="G92" s="10">
        <v>2</v>
      </c>
      <c r="H92" s="11">
        <v>4</v>
      </c>
      <c r="I92" s="12">
        <v>1</v>
      </c>
      <c r="J92" s="13" t="s">
        <v>1082</v>
      </c>
      <c r="K92" s="14" t="s">
        <v>1083</v>
      </c>
      <c r="L92" s="15" t="s">
        <v>1084</v>
      </c>
      <c r="M92" s="16" t="s">
        <v>1085</v>
      </c>
      <c r="N92" s="17" t="s">
        <v>36</v>
      </c>
      <c r="O92" s="18" t="s">
        <v>1086</v>
      </c>
      <c r="P92" s="19" t="s">
        <v>50</v>
      </c>
      <c r="Q92" s="20" t="s">
        <v>1087</v>
      </c>
      <c r="R92" s="21" t="s">
        <v>35</v>
      </c>
      <c r="S92" s="22" t="s">
        <v>36</v>
      </c>
      <c r="T92" s="23" t="s">
        <v>1088</v>
      </c>
      <c r="U92" s="44" t="str">
        <f>HYPERLINK("https://my.pitchbook.com?p=84605-50P", "View people online")</f>
        <v>View people online</v>
      </c>
    </row>
    <row r="93" spans="1:21" x14ac:dyDescent="0.3">
      <c r="A93" s="24" t="s">
        <v>1089</v>
      </c>
      <c r="B93" s="25" t="s">
        <v>1090</v>
      </c>
      <c r="C93" s="26" t="s">
        <v>1091</v>
      </c>
      <c r="D93" s="27" t="s">
        <v>1092</v>
      </c>
      <c r="E93" s="28" t="s">
        <v>1093</v>
      </c>
      <c r="F93" s="29" t="s">
        <v>1094</v>
      </c>
      <c r="G93" s="30" t="s">
        <v>36</v>
      </c>
      <c r="H93" s="31">
        <v>4</v>
      </c>
      <c r="I93" s="32">
        <v>1</v>
      </c>
      <c r="J93" s="33" t="s">
        <v>1095</v>
      </c>
      <c r="K93" s="34" t="s">
        <v>1096</v>
      </c>
      <c r="L93" s="35" t="s">
        <v>1097</v>
      </c>
      <c r="M93" s="36" t="s">
        <v>1098</v>
      </c>
      <c r="N93" s="37" t="s">
        <v>36</v>
      </c>
      <c r="O93" s="38" t="s">
        <v>1099</v>
      </c>
      <c r="P93" s="39" t="s">
        <v>1100</v>
      </c>
      <c r="Q93" s="40" t="s">
        <v>1101</v>
      </c>
      <c r="R93" s="41" t="s">
        <v>35</v>
      </c>
      <c r="S93" s="42" t="s">
        <v>1102</v>
      </c>
      <c r="T93" s="43" t="s">
        <v>1103</v>
      </c>
      <c r="U93" s="45" t="str">
        <f>HYPERLINK("https://my.pitchbook.com?p=124579-81P", "View people online")</f>
        <v>View people online</v>
      </c>
    </row>
    <row r="94" spans="1:21" x14ac:dyDescent="0.3">
      <c r="A94" s="4" t="s">
        <v>1104</v>
      </c>
      <c r="B94" s="5" t="s">
        <v>1105</v>
      </c>
      <c r="C94" s="6" t="s">
        <v>1106</v>
      </c>
      <c r="D94" s="7" t="s">
        <v>1107</v>
      </c>
      <c r="E94" s="8" t="s">
        <v>1108</v>
      </c>
      <c r="F94" s="9" t="s">
        <v>1109</v>
      </c>
      <c r="G94" s="10" t="s">
        <v>36</v>
      </c>
      <c r="H94" s="11">
        <v>4</v>
      </c>
      <c r="I94" s="12">
        <v>1</v>
      </c>
      <c r="J94" s="13" t="s">
        <v>1110</v>
      </c>
      <c r="K94" s="14" t="s">
        <v>1111</v>
      </c>
      <c r="L94" s="15" t="s">
        <v>1112</v>
      </c>
      <c r="M94" s="16" t="s">
        <v>1113</v>
      </c>
      <c r="N94" s="17" t="s">
        <v>36</v>
      </c>
      <c r="O94" s="18" t="s">
        <v>1114</v>
      </c>
      <c r="P94" s="19" t="s">
        <v>1115</v>
      </c>
      <c r="Q94" s="20" t="s">
        <v>1116</v>
      </c>
      <c r="R94" s="21" t="s">
        <v>35</v>
      </c>
      <c r="S94" s="22" t="s">
        <v>36</v>
      </c>
      <c r="T94" s="23" t="s">
        <v>1117</v>
      </c>
      <c r="U94" s="44" t="str">
        <f>HYPERLINK("https://my.pitchbook.com?p=35286-67P", "View people online")</f>
        <v>View people online</v>
      </c>
    </row>
    <row r="95" spans="1:21" x14ac:dyDescent="0.3">
      <c r="A95" s="24" t="s">
        <v>1118</v>
      </c>
      <c r="B95" s="25" t="s">
        <v>1119</v>
      </c>
      <c r="C95" s="26" t="s">
        <v>1120</v>
      </c>
      <c r="D95" s="27" t="s">
        <v>139</v>
      </c>
      <c r="E95" s="28" t="s">
        <v>1121</v>
      </c>
      <c r="F95" s="29" t="s">
        <v>1122</v>
      </c>
      <c r="G95" s="30">
        <v>1</v>
      </c>
      <c r="H95" s="31">
        <v>4</v>
      </c>
      <c r="I95" s="32">
        <v>1</v>
      </c>
      <c r="J95" s="33" t="s">
        <v>1123</v>
      </c>
      <c r="K95" s="34" t="s">
        <v>1124</v>
      </c>
      <c r="L95" s="35" t="s">
        <v>183</v>
      </c>
      <c r="M95" s="36" t="s">
        <v>1125</v>
      </c>
      <c r="N95" s="37" t="s">
        <v>1126</v>
      </c>
      <c r="O95" s="38" t="s">
        <v>186</v>
      </c>
      <c r="P95" s="39" t="s">
        <v>50</v>
      </c>
      <c r="Q95" s="40" t="s">
        <v>444</v>
      </c>
      <c r="R95" s="41" t="s">
        <v>35</v>
      </c>
      <c r="S95" s="42" t="s">
        <v>36</v>
      </c>
      <c r="T95" s="43" t="s">
        <v>1127</v>
      </c>
      <c r="U95" s="45" t="str">
        <f>HYPERLINK("https://my.pitchbook.com?p=37248-40P", "View people online")</f>
        <v>View people online</v>
      </c>
    </row>
    <row r="96" spans="1:21" x14ac:dyDescent="0.3">
      <c r="A96" s="4" t="s">
        <v>1128</v>
      </c>
      <c r="B96" s="5" t="s">
        <v>1129</v>
      </c>
      <c r="C96" s="6" t="s">
        <v>1130</v>
      </c>
      <c r="D96" s="7" t="s">
        <v>1131</v>
      </c>
      <c r="E96" s="8" t="s">
        <v>1132</v>
      </c>
      <c r="F96" s="9" t="s">
        <v>1133</v>
      </c>
      <c r="G96" s="10" t="s">
        <v>36</v>
      </c>
      <c r="H96" s="11">
        <v>4</v>
      </c>
      <c r="I96" s="12">
        <v>2</v>
      </c>
      <c r="J96" s="13" t="s">
        <v>1134</v>
      </c>
      <c r="K96" s="14" t="s">
        <v>1135</v>
      </c>
      <c r="L96" s="15" t="s">
        <v>1136</v>
      </c>
      <c r="M96" s="16" t="s">
        <v>1137</v>
      </c>
      <c r="N96" s="17" t="s">
        <v>1138</v>
      </c>
      <c r="O96" s="18" t="s">
        <v>1139</v>
      </c>
      <c r="P96" s="19" t="s">
        <v>1140</v>
      </c>
      <c r="Q96" s="20" t="s">
        <v>1141</v>
      </c>
      <c r="R96" s="21" t="s">
        <v>35</v>
      </c>
      <c r="S96" s="22" t="s">
        <v>36</v>
      </c>
      <c r="T96" s="23" t="s">
        <v>1142</v>
      </c>
      <c r="U96" s="44" t="str">
        <f>HYPERLINK("https://my.pitchbook.com?p=70538-95P", "View people online")</f>
        <v>View people online</v>
      </c>
    </row>
    <row r="97" spans="1:21" x14ac:dyDescent="0.3">
      <c r="A97" s="24" t="s">
        <v>1143</v>
      </c>
      <c r="B97" s="25" t="s">
        <v>1144</v>
      </c>
      <c r="C97" s="26" t="s">
        <v>1145</v>
      </c>
      <c r="D97" s="27" t="s">
        <v>1146</v>
      </c>
      <c r="E97" s="28" t="s">
        <v>1147</v>
      </c>
      <c r="F97" s="29" t="s">
        <v>1148</v>
      </c>
      <c r="G97" s="30">
        <v>3</v>
      </c>
      <c r="H97" s="31">
        <v>4</v>
      </c>
      <c r="I97" s="32" t="s">
        <v>36</v>
      </c>
      <c r="J97" s="33" t="s">
        <v>1149</v>
      </c>
      <c r="K97" s="34" t="s">
        <v>1150</v>
      </c>
      <c r="L97" s="35" t="s">
        <v>1151</v>
      </c>
      <c r="M97" s="36" t="s">
        <v>1152</v>
      </c>
      <c r="N97" s="37" t="s">
        <v>1153</v>
      </c>
      <c r="O97" s="38" t="s">
        <v>1154</v>
      </c>
      <c r="P97" s="39" t="s">
        <v>544</v>
      </c>
      <c r="Q97" s="40" t="s">
        <v>1155</v>
      </c>
      <c r="R97" s="41" t="s">
        <v>35</v>
      </c>
      <c r="S97" s="42" t="s">
        <v>1156</v>
      </c>
      <c r="T97" s="43" t="s">
        <v>1157</v>
      </c>
      <c r="U97" s="45" t="str">
        <f>HYPERLINK("https://my.pitchbook.com?p=32680-45P", "View people online")</f>
        <v>View people online</v>
      </c>
    </row>
    <row r="98" spans="1:21" x14ac:dyDescent="0.3">
      <c r="A98" s="4" t="s">
        <v>1158</v>
      </c>
      <c r="B98" s="5" t="s">
        <v>1159</v>
      </c>
      <c r="C98" s="6" t="s">
        <v>1160</v>
      </c>
      <c r="D98" s="7" t="s">
        <v>1161</v>
      </c>
      <c r="E98" s="8" t="s">
        <v>1162</v>
      </c>
      <c r="F98" s="9" t="s">
        <v>1163</v>
      </c>
      <c r="G98" s="10">
        <v>1</v>
      </c>
      <c r="H98" s="11">
        <v>4</v>
      </c>
      <c r="I98" s="12">
        <v>2</v>
      </c>
      <c r="J98" s="13" t="s">
        <v>1164</v>
      </c>
      <c r="K98" s="14" t="s">
        <v>36</v>
      </c>
      <c r="L98" s="15" t="s">
        <v>464</v>
      </c>
      <c r="M98" s="16" t="s">
        <v>1165</v>
      </c>
      <c r="N98" s="17" t="s">
        <v>1166</v>
      </c>
      <c r="O98" s="18" t="s">
        <v>467</v>
      </c>
      <c r="P98" s="19" t="s">
        <v>468</v>
      </c>
      <c r="Q98" s="20" t="s">
        <v>1167</v>
      </c>
      <c r="R98" s="21" t="s">
        <v>35</v>
      </c>
      <c r="S98" s="22" t="s">
        <v>36</v>
      </c>
      <c r="T98" s="23" t="s">
        <v>1168</v>
      </c>
      <c r="U98" s="44" t="str">
        <f>HYPERLINK("https://my.pitchbook.com?p=56059-12P", "View people online")</f>
        <v>View people online</v>
      </c>
    </row>
    <row r="99" spans="1:21" x14ac:dyDescent="0.3">
      <c r="A99" s="24" t="s">
        <v>1169</v>
      </c>
      <c r="B99" s="25" t="s">
        <v>1170</v>
      </c>
      <c r="C99" s="26" t="s">
        <v>1171</v>
      </c>
      <c r="D99" s="27" t="s">
        <v>1172</v>
      </c>
      <c r="E99" s="28" t="s">
        <v>1173</v>
      </c>
      <c r="F99" s="29" t="s">
        <v>1174</v>
      </c>
      <c r="G99" s="30">
        <v>1</v>
      </c>
      <c r="H99" s="31">
        <v>4</v>
      </c>
      <c r="I99" s="32">
        <v>1</v>
      </c>
      <c r="J99" s="33" t="s">
        <v>1175</v>
      </c>
      <c r="K99" s="34" t="s">
        <v>1176</v>
      </c>
      <c r="L99" s="35" t="s">
        <v>183</v>
      </c>
      <c r="M99" s="36" t="s">
        <v>1177</v>
      </c>
      <c r="N99" s="37" t="s">
        <v>566</v>
      </c>
      <c r="O99" s="38" t="s">
        <v>186</v>
      </c>
      <c r="P99" s="39" t="s">
        <v>50</v>
      </c>
      <c r="Q99" s="40" t="s">
        <v>278</v>
      </c>
      <c r="R99" s="41" t="s">
        <v>35</v>
      </c>
      <c r="S99" s="42" t="s">
        <v>36</v>
      </c>
      <c r="T99" s="43" t="s">
        <v>1178</v>
      </c>
      <c r="U99" s="45" t="str">
        <f>HYPERLINK("https://my.pitchbook.com?p=41980-60P", "View people online")</f>
        <v>View people online</v>
      </c>
    </row>
    <row r="100" spans="1:21" x14ac:dyDescent="0.3">
      <c r="A100" s="4" t="s">
        <v>1179</v>
      </c>
      <c r="B100" s="5" t="s">
        <v>1180</v>
      </c>
      <c r="C100" s="6" t="s">
        <v>1181</v>
      </c>
      <c r="D100" s="7" t="s">
        <v>1182</v>
      </c>
      <c r="E100" s="8" t="s">
        <v>179</v>
      </c>
      <c r="F100" s="9" t="s">
        <v>1183</v>
      </c>
      <c r="G100" s="10" t="s">
        <v>36</v>
      </c>
      <c r="H100" s="11">
        <v>4</v>
      </c>
      <c r="I100" s="12">
        <v>1</v>
      </c>
      <c r="J100" s="13" t="s">
        <v>1184</v>
      </c>
      <c r="K100" s="14" t="s">
        <v>1185</v>
      </c>
      <c r="L100" s="15" t="s">
        <v>46</v>
      </c>
      <c r="M100" s="16" t="s">
        <v>1186</v>
      </c>
      <c r="N100" s="17" t="s">
        <v>1187</v>
      </c>
      <c r="O100" s="18" t="s">
        <v>49</v>
      </c>
      <c r="P100" s="19" t="s">
        <v>50</v>
      </c>
      <c r="Q100" s="20" t="s">
        <v>1188</v>
      </c>
      <c r="R100" s="21" t="s">
        <v>35</v>
      </c>
      <c r="S100" s="22" t="s">
        <v>36</v>
      </c>
      <c r="T100" s="23" t="s">
        <v>1189</v>
      </c>
      <c r="U100" s="44" t="str">
        <f>HYPERLINK("https://my.pitchbook.com?p=41095-99P", "View people online")</f>
        <v>View people online</v>
      </c>
    </row>
    <row r="101" spans="1:21" x14ac:dyDescent="0.3">
      <c r="A101" s="24" t="s">
        <v>1190</v>
      </c>
      <c r="B101" s="25" t="s">
        <v>1191</v>
      </c>
      <c r="C101" s="26" t="s">
        <v>992</v>
      </c>
      <c r="D101" s="27" t="s">
        <v>193</v>
      </c>
      <c r="E101" s="28" t="s">
        <v>1192</v>
      </c>
      <c r="F101" s="29" t="s">
        <v>1193</v>
      </c>
      <c r="G101" s="30">
        <v>1</v>
      </c>
      <c r="H101" s="31">
        <v>4</v>
      </c>
      <c r="I101" s="32" t="s">
        <v>36</v>
      </c>
      <c r="J101" s="33" t="s">
        <v>36</v>
      </c>
      <c r="K101" s="34" t="s">
        <v>1194</v>
      </c>
      <c r="L101" s="35" t="s">
        <v>183</v>
      </c>
      <c r="M101" s="36" t="s">
        <v>1195</v>
      </c>
      <c r="N101" s="37" t="s">
        <v>36</v>
      </c>
      <c r="O101" s="38" t="s">
        <v>186</v>
      </c>
      <c r="P101" s="39" t="s">
        <v>50</v>
      </c>
      <c r="Q101" s="40" t="s">
        <v>1196</v>
      </c>
      <c r="R101" s="41" t="s">
        <v>35</v>
      </c>
      <c r="S101" s="42" t="s">
        <v>36</v>
      </c>
      <c r="T101" s="43" t="s">
        <v>1197</v>
      </c>
      <c r="U101" s="45" t="str">
        <f>HYPERLINK("https://my.pitchbook.com?p=49884-58P", "View people online")</f>
        <v>View people online</v>
      </c>
    </row>
    <row r="102" spans="1:21" x14ac:dyDescent="0.3">
      <c r="A102" s="4" t="s">
        <v>1198</v>
      </c>
      <c r="B102" s="5" t="s">
        <v>1199</v>
      </c>
      <c r="C102" s="6" t="s">
        <v>1200</v>
      </c>
      <c r="D102" s="7" t="s">
        <v>193</v>
      </c>
      <c r="E102" s="8" t="s">
        <v>1201</v>
      </c>
      <c r="F102" s="9" t="s">
        <v>1202</v>
      </c>
      <c r="G102" s="10">
        <v>1</v>
      </c>
      <c r="H102" s="11">
        <v>4</v>
      </c>
      <c r="I102" s="12">
        <v>1</v>
      </c>
      <c r="J102" s="13" t="s">
        <v>1203</v>
      </c>
      <c r="K102" s="14" t="s">
        <v>1204</v>
      </c>
      <c r="L102" s="15" t="s">
        <v>1205</v>
      </c>
      <c r="M102" s="16" t="s">
        <v>1206</v>
      </c>
      <c r="N102" s="17" t="s">
        <v>36</v>
      </c>
      <c r="O102" s="18" t="s">
        <v>1207</v>
      </c>
      <c r="P102" s="19" t="s">
        <v>1208</v>
      </c>
      <c r="Q102" s="20" t="s">
        <v>1209</v>
      </c>
      <c r="R102" s="21" t="s">
        <v>1210</v>
      </c>
      <c r="S102" s="22" t="s">
        <v>36</v>
      </c>
      <c r="T102" s="23" t="s">
        <v>1211</v>
      </c>
      <c r="U102" s="44" t="str">
        <f>HYPERLINK("https://my.pitchbook.com?p=122329-00P", "View people online")</f>
        <v>View people online</v>
      </c>
    </row>
    <row r="103" spans="1:21" x14ac:dyDescent="0.3">
      <c r="A103" s="24" t="s">
        <v>1212</v>
      </c>
      <c r="B103" s="25" t="s">
        <v>1213</v>
      </c>
      <c r="C103" s="26" t="s">
        <v>1214</v>
      </c>
      <c r="D103" s="27" t="s">
        <v>1215</v>
      </c>
      <c r="E103" s="28" t="s">
        <v>314</v>
      </c>
      <c r="F103" s="29" t="s">
        <v>1216</v>
      </c>
      <c r="G103" s="30">
        <v>1</v>
      </c>
      <c r="H103" s="31">
        <v>4</v>
      </c>
      <c r="I103" s="32">
        <v>2</v>
      </c>
      <c r="J103" s="33" t="s">
        <v>1217</v>
      </c>
      <c r="K103" s="34" t="s">
        <v>1218</v>
      </c>
      <c r="L103" s="35" t="s">
        <v>250</v>
      </c>
      <c r="M103" s="36" t="s">
        <v>1219</v>
      </c>
      <c r="N103" s="37" t="s">
        <v>997</v>
      </c>
      <c r="O103" s="38" t="s">
        <v>253</v>
      </c>
      <c r="P103" s="39" t="s">
        <v>50</v>
      </c>
      <c r="Q103" s="40" t="s">
        <v>334</v>
      </c>
      <c r="R103" s="41" t="s">
        <v>35</v>
      </c>
      <c r="S103" s="42" t="s">
        <v>1220</v>
      </c>
      <c r="T103" s="43" t="s">
        <v>1221</v>
      </c>
      <c r="U103" s="45" t="str">
        <f>HYPERLINK("https://my.pitchbook.com?p=29598-94P", "View people online")</f>
        <v>View people online</v>
      </c>
    </row>
    <row r="104" spans="1:21" x14ac:dyDescent="0.3">
      <c r="A104" s="4" t="s">
        <v>1222</v>
      </c>
      <c r="B104" s="5" t="s">
        <v>1223</v>
      </c>
      <c r="C104" s="6" t="s">
        <v>1224</v>
      </c>
      <c r="D104" s="7" t="s">
        <v>1225</v>
      </c>
      <c r="E104" s="8" t="s">
        <v>1226</v>
      </c>
      <c r="F104" s="9" t="s">
        <v>1227</v>
      </c>
      <c r="G104" s="10">
        <v>1</v>
      </c>
      <c r="H104" s="11">
        <v>4</v>
      </c>
      <c r="I104" s="12" t="s">
        <v>36</v>
      </c>
      <c r="J104" s="13" t="s">
        <v>1228</v>
      </c>
      <c r="K104" s="14" t="s">
        <v>1229</v>
      </c>
      <c r="L104" s="15" t="s">
        <v>183</v>
      </c>
      <c r="M104" s="16" t="s">
        <v>36</v>
      </c>
      <c r="N104" s="17" t="s">
        <v>36</v>
      </c>
      <c r="O104" s="18" t="s">
        <v>186</v>
      </c>
      <c r="P104" s="19" t="s">
        <v>50</v>
      </c>
      <c r="Q104" s="20" t="s">
        <v>36</v>
      </c>
      <c r="R104" s="21" t="s">
        <v>35</v>
      </c>
      <c r="S104" s="22" t="s">
        <v>36</v>
      </c>
      <c r="T104" s="23" t="s">
        <v>1230</v>
      </c>
      <c r="U104" s="44" t="str">
        <f>HYPERLINK("https://my.pitchbook.com?p=165106-54P", "View people online")</f>
        <v>View people online</v>
      </c>
    </row>
    <row r="105" spans="1:21" x14ac:dyDescent="0.3">
      <c r="A105" s="24" t="s">
        <v>1231</v>
      </c>
      <c r="B105" s="25" t="s">
        <v>1232</v>
      </c>
      <c r="C105" s="26" t="s">
        <v>1233</v>
      </c>
      <c r="D105" s="27" t="s">
        <v>1234</v>
      </c>
      <c r="E105" s="28" t="s">
        <v>1235</v>
      </c>
      <c r="F105" s="29" t="s">
        <v>1236</v>
      </c>
      <c r="G105" s="30">
        <v>1</v>
      </c>
      <c r="H105" s="31">
        <v>4</v>
      </c>
      <c r="I105" s="32" t="s">
        <v>36</v>
      </c>
      <c r="J105" s="33" t="s">
        <v>1237</v>
      </c>
      <c r="K105" s="34" t="s">
        <v>1238</v>
      </c>
      <c r="L105" s="35" t="s">
        <v>397</v>
      </c>
      <c r="M105" s="36" t="s">
        <v>1239</v>
      </c>
      <c r="N105" s="37" t="s">
        <v>1240</v>
      </c>
      <c r="O105" s="38" t="s">
        <v>400</v>
      </c>
      <c r="P105" s="39" t="s">
        <v>400</v>
      </c>
      <c r="Q105" s="40" t="s">
        <v>787</v>
      </c>
      <c r="R105" s="41" t="s">
        <v>35</v>
      </c>
      <c r="S105" s="42" t="s">
        <v>36</v>
      </c>
      <c r="T105" s="43" t="s">
        <v>1241</v>
      </c>
      <c r="U105" s="45" t="str">
        <f>HYPERLINK("https://my.pitchbook.com?p=41515-48P", "View people online")</f>
        <v>View people online</v>
      </c>
    </row>
    <row r="106" spans="1:21" x14ac:dyDescent="0.3">
      <c r="A106" s="4" t="s">
        <v>1242</v>
      </c>
      <c r="B106" s="5" t="s">
        <v>1243</v>
      </c>
      <c r="C106" s="6" t="s">
        <v>1244</v>
      </c>
      <c r="D106" s="7" t="s">
        <v>1245</v>
      </c>
      <c r="E106" s="8" t="s">
        <v>86</v>
      </c>
      <c r="F106" s="9" t="s">
        <v>1246</v>
      </c>
      <c r="G106" s="10">
        <v>3</v>
      </c>
      <c r="H106" s="11">
        <v>4</v>
      </c>
      <c r="I106" s="12" t="s">
        <v>36</v>
      </c>
      <c r="J106" s="13" t="s">
        <v>36</v>
      </c>
      <c r="K106" s="14" t="s">
        <v>36</v>
      </c>
      <c r="L106" s="15" t="s">
        <v>183</v>
      </c>
      <c r="M106" s="16" t="s">
        <v>1247</v>
      </c>
      <c r="N106" s="17" t="s">
        <v>466</v>
      </c>
      <c r="O106" s="18" t="s">
        <v>186</v>
      </c>
      <c r="P106" s="19" t="s">
        <v>50</v>
      </c>
      <c r="Q106" s="20" t="s">
        <v>625</v>
      </c>
      <c r="R106" s="21" t="s">
        <v>35</v>
      </c>
      <c r="S106" s="22" t="s">
        <v>36</v>
      </c>
      <c r="T106" s="23" t="s">
        <v>1248</v>
      </c>
      <c r="U106" s="44" t="str">
        <f>HYPERLINK("https://my.pitchbook.com?p=61250-59P", "View people online")</f>
        <v>View people online</v>
      </c>
    </row>
    <row r="107" spans="1:21" x14ac:dyDescent="0.3">
      <c r="A107" s="24" t="s">
        <v>1249</v>
      </c>
      <c r="B107" s="25" t="s">
        <v>1250</v>
      </c>
      <c r="C107" s="26" t="s">
        <v>1251</v>
      </c>
      <c r="D107" s="27" t="s">
        <v>1252</v>
      </c>
      <c r="E107" s="28" t="s">
        <v>1253</v>
      </c>
      <c r="F107" s="29" t="s">
        <v>1254</v>
      </c>
      <c r="G107" s="30">
        <v>1</v>
      </c>
      <c r="H107" s="31">
        <v>4</v>
      </c>
      <c r="I107" s="32">
        <v>1</v>
      </c>
      <c r="J107" s="33" t="s">
        <v>1255</v>
      </c>
      <c r="K107" s="34" t="s">
        <v>1256</v>
      </c>
      <c r="L107" s="35" t="s">
        <v>1257</v>
      </c>
      <c r="M107" s="36" t="s">
        <v>1258</v>
      </c>
      <c r="N107" s="37" t="s">
        <v>36</v>
      </c>
      <c r="O107" s="38" t="s">
        <v>1259</v>
      </c>
      <c r="P107" s="39" t="s">
        <v>36</v>
      </c>
      <c r="Q107" s="40" t="s">
        <v>1260</v>
      </c>
      <c r="R107" s="41" t="s">
        <v>1261</v>
      </c>
      <c r="S107" s="42" t="s">
        <v>1262</v>
      </c>
      <c r="T107" s="43" t="s">
        <v>1263</v>
      </c>
      <c r="U107" s="45" t="str">
        <f>HYPERLINK("https://my.pitchbook.com?p=49944-79P", "View people online")</f>
        <v>View people online</v>
      </c>
    </row>
    <row r="108" spans="1:21" x14ac:dyDescent="0.3">
      <c r="A108" s="4" t="s">
        <v>1264</v>
      </c>
      <c r="B108" s="5" t="s">
        <v>1265</v>
      </c>
      <c r="C108" s="6" t="s">
        <v>1266</v>
      </c>
      <c r="D108" s="7" t="s">
        <v>98</v>
      </c>
      <c r="E108" s="8" t="s">
        <v>1108</v>
      </c>
      <c r="F108" s="9" t="s">
        <v>1267</v>
      </c>
      <c r="G108" s="10" t="s">
        <v>36</v>
      </c>
      <c r="H108" s="11">
        <v>4</v>
      </c>
      <c r="I108" s="12">
        <v>1</v>
      </c>
      <c r="J108" s="13" t="s">
        <v>1268</v>
      </c>
      <c r="K108" s="14" t="s">
        <v>1269</v>
      </c>
      <c r="L108" s="15" t="s">
        <v>295</v>
      </c>
      <c r="M108" s="16" t="s">
        <v>1270</v>
      </c>
      <c r="N108" s="17" t="s">
        <v>1271</v>
      </c>
      <c r="O108" s="18" t="s">
        <v>298</v>
      </c>
      <c r="P108" s="19" t="s">
        <v>50</v>
      </c>
      <c r="Q108" s="20" t="s">
        <v>1272</v>
      </c>
      <c r="R108" s="21" t="s">
        <v>35</v>
      </c>
      <c r="S108" s="22" t="s">
        <v>36</v>
      </c>
      <c r="T108" s="23" t="s">
        <v>1273</v>
      </c>
      <c r="U108" s="44" t="str">
        <f>HYPERLINK("https://my.pitchbook.com?p=122913-73P", "View people online")</f>
        <v>View people online</v>
      </c>
    </row>
    <row r="109" spans="1:21" x14ac:dyDescent="0.3">
      <c r="A109" s="24" t="s">
        <v>1274</v>
      </c>
      <c r="B109" s="25" t="s">
        <v>1275</v>
      </c>
      <c r="C109" s="26" t="s">
        <v>590</v>
      </c>
      <c r="D109" s="27" t="s">
        <v>1276</v>
      </c>
      <c r="E109" s="28" t="s">
        <v>314</v>
      </c>
      <c r="F109" s="29" t="s">
        <v>1277</v>
      </c>
      <c r="G109" s="30">
        <v>3</v>
      </c>
      <c r="H109" s="31">
        <v>4</v>
      </c>
      <c r="I109" s="32" t="s">
        <v>36</v>
      </c>
      <c r="J109" s="33" t="s">
        <v>1278</v>
      </c>
      <c r="K109" s="34" t="s">
        <v>1279</v>
      </c>
      <c r="L109" s="35" t="s">
        <v>210</v>
      </c>
      <c r="M109" s="36" t="s">
        <v>1280</v>
      </c>
      <c r="N109" s="37" t="s">
        <v>806</v>
      </c>
      <c r="O109" s="38" t="s">
        <v>213</v>
      </c>
      <c r="P109" s="39" t="s">
        <v>50</v>
      </c>
      <c r="Q109" s="40" t="s">
        <v>1281</v>
      </c>
      <c r="R109" s="41" t="s">
        <v>35</v>
      </c>
      <c r="S109" s="42" t="s">
        <v>1282</v>
      </c>
      <c r="T109" s="43" t="s">
        <v>1283</v>
      </c>
      <c r="U109" s="45" t="str">
        <f>HYPERLINK("https://my.pitchbook.com?p=39693-61P", "View people online")</f>
        <v>View people online</v>
      </c>
    </row>
    <row r="110" spans="1:21" x14ac:dyDescent="0.3">
      <c r="A110" s="4" t="s">
        <v>1284</v>
      </c>
      <c r="B110" s="5" t="s">
        <v>1285</v>
      </c>
      <c r="C110" s="6" t="s">
        <v>1286</v>
      </c>
      <c r="D110" s="7" t="s">
        <v>1287</v>
      </c>
      <c r="E110" s="8" t="s">
        <v>179</v>
      </c>
      <c r="F110" s="9" t="s">
        <v>1288</v>
      </c>
      <c r="G110" s="10">
        <v>1</v>
      </c>
      <c r="H110" s="11">
        <v>4</v>
      </c>
      <c r="I110" s="12">
        <v>1</v>
      </c>
      <c r="J110" s="13" t="s">
        <v>1289</v>
      </c>
      <c r="K110" s="14" t="s">
        <v>1290</v>
      </c>
      <c r="L110" s="15" t="s">
        <v>1291</v>
      </c>
      <c r="M110" s="16" t="s">
        <v>1292</v>
      </c>
      <c r="N110" s="17" t="s">
        <v>1293</v>
      </c>
      <c r="O110" s="18" t="s">
        <v>1294</v>
      </c>
      <c r="P110" s="19" t="s">
        <v>1295</v>
      </c>
      <c r="Q110" s="20" t="s">
        <v>1296</v>
      </c>
      <c r="R110" s="21" t="s">
        <v>79</v>
      </c>
      <c r="S110" s="22" t="s">
        <v>36</v>
      </c>
      <c r="T110" s="23" t="s">
        <v>1297</v>
      </c>
      <c r="U110" s="44" t="str">
        <f>HYPERLINK("https://my.pitchbook.com?p=13142-89P", "View people online")</f>
        <v>View people online</v>
      </c>
    </row>
    <row r="111" spans="1:21" x14ac:dyDescent="0.3">
      <c r="A111" s="24" t="s">
        <v>1298</v>
      </c>
      <c r="B111" s="25" t="s">
        <v>1299</v>
      </c>
      <c r="C111" s="26" t="s">
        <v>1300</v>
      </c>
      <c r="D111" s="27" t="s">
        <v>1301</v>
      </c>
      <c r="E111" s="28" t="s">
        <v>1302</v>
      </c>
      <c r="F111" s="29" t="s">
        <v>1303</v>
      </c>
      <c r="G111" s="30" t="s">
        <v>36</v>
      </c>
      <c r="H111" s="31">
        <v>4</v>
      </c>
      <c r="I111" s="32">
        <v>3</v>
      </c>
      <c r="J111" s="33" t="s">
        <v>1304</v>
      </c>
      <c r="K111" s="34" t="s">
        <v>1305</v>
      </c>
      <c r="L111" s="35" t="s">
        <v>250</v>
      </c>
      <c r="M111" s="36" t="s">
        <v>1306</v>
      </c>
      <c r="N111" s="37" t="s">
        <v>1307</v>
      </c>
      <c r="O111" s="38" t="s">
        <v>253</v>
      </c>
      <c r="P111" s="39" t="s">
        <v>50</v>
      </c>
      <c r="Q111" s="40" t="s">
        <v>1308</v>
      </c>
      <c r="R111" s="41" t="s">
        <v>35</v>
      </c>
      <c r="S111" s="42" t="s">
        <v>36</v>
      </c>
      <c r="T111" s="43" t="s">
        <v>1309</v>
      </c>
      <c r="U111" s="45" t="str">
        <f>HYPERLINK("https://my.pitchbook.com?p=104050-90P", "View people online")</f>
        <v>View people online</v>
      </c>
    </row>
    <row r="112" spans="1:21" x14ac:dyDescent="0.3">
      <c r="A112" s="4" t="s">
        <v>1310</v>
      </c>
      <c r="B112" s="5" t="s">
        <v>1311</v>
      </c>
      <c r="C112" s="6" t="s">
        <v>1312</v>
      </c>
      <c r="D112" s="7" t="s">
        <v>1313</v>
      </c>
      <c r="E112" s="8" t="s">
        <v>166</v>
      </c>
      <c r="F112" s="9" t="s">
        <v>1314</v>
      </c>
      <c r="G112" s="10" t="s">
        <v>36</v>
      </c>
      <c r="H112" s="11">
        <v>4</v>
      </c>
      <c r="I112" s="12" t="s">
        <v>36</v>
      </c>
      <c r="J112" s="13" t="s">
        <v>1315</v>
      </c>
      <c r="K112" s="14" t="s">
        <v>1316</v>
      </c>
      <c r="L112" s="15" t="s">
        <v>183</v>
      </c>
      <c r="M112" s="16" t="s">
        <v>36</v>
      </c>
      <c r="N112" s="17" t="s">
        <v>36</v>
      </c>
      <c r="O112" s="18" t="s">
        <v>186</v>
      </c>
      <c r="P112" s="19" t="s">
        <v>50</v>
      </c>
      <c r="Q112" s="20" t="s">
        <v>36</v>
      </c>
      <c r="R112" s="21" t="s">
        <v>35</v>
      </c>
      <c r="S112" s="22" t="s">
        <v>36</v>
      </c>
      <c r="T112" s="23" t="s">
        <v>1317</v>
      </c>
      <c r="U112" s="44" t="str">
        <f>HYPERLINK("https://my.pitchbook.com?p=65969-02P", "View people online")</f>
        <v>View people online</v>
      </c>
    </row>
    <row r="113" spans="1:21" x14ac:dyDescent="0.3">
      <c r="A113" s="24" t="s">
        <v>1318</v>
      </c>
      <c r="B113" s="25" t="s">
        <v>1319</v>
      </c>
      <c r="C113" s="26" t="s">
        <v>1320</v>
      </c>
      <c r="D113" s="27" t="s">
        <v>1321</v>
      </c>
      <c r="E113" s="28" t="s">
        <v>1322</v>
      </c>
      <c r="F113" s="29" t="s">
        <v>1323</v>
      </c>
      <c r="G113" s="30" t="s">
        <v>36</v>
      </c>
      <c r="H113" s="31">
        <v>4</v>
      </c>
      <c r="I113" s="32">
        <v>3</v>
      </c>
      <c r="J113" s="33" t="s">
        <v>1324</v>
      </c>
      <c r="K113" s="34" t="s">
        <v>1325</v>
      </c>
      <c r="L113" s="35" t="s">
        <v>183</v>
      </c>
      <c r="M113" s="36" t="s">
        <v>1326</v>
      </c>
      <c r="N113" s="37" t="s">
        <v>48</v>
      </c>
      <c r="O113" s="38" t="s">
        <v>186</v>
      </c>
      <c r="P113" s="39" t="s">
        <v>50</v>
      </c>
      <c r="Q113" s="40" t="s">
        <v>718</v>
      </c>
      <c r="R113" s="41" t="s">
        <v>35</v>
      </c>
      <c r="S113" s="42" t="s">
        <v>36</v>
      </c>
      <c r="T113" s="43" t="s">
        <v>1327</v>
      </c>
      <c r="U113" s="45" t="str">
        <f>HYPERLINK("https://my.pitchbook.com?p=41963-23P", "View people online")</f>
        <v>View people online</v>
      </c>
    </row>
    <row r="114" spans="1:21" x14ac:dyDescent="0.3">
      <c r="A114" s="4" t="s">
        <v>1328</v>
      </c>
      <c r="B114" s="5" t="s">
        <v>1329</v>
      </c>
      <c r="C114" s="6" t="s">
        <v>352</v>
      </c>
      <c r="D114" s="7" t="s">
        <v>1330</v>
      </c>
      <c r="E114" s="8" t="s">
        <v>1331</v>
      </c>
      <c r="F114" s="9" t="s">
        <v>1329</v>
      </c>
      <c r="G114" s="10">
        <v>1</v>
      </c>
      <c r="H114" s="11">
        <v>4</v>
      </c>
      <c r="I114" s="12">
        <v>1</v>
      </c>
      <c r="J114" s="13" t="s">
        <v>1332</v>
      </c>
      <c r="K114" s="14" t="s">
        <v>36</v>
      </c>
      <c r="L114" s="15" t="s">
        <v>679</v>
      </c>
      <c r="M114" s="16" t="s">
        <v>935</v>
      </c>
      <c r="N114" s="17" t="s">
        <v>566</v>
      </c>
      <c r="O114" s="18" t="s">
        <v>681</v>
      </c>
      <c r="P114" s="19" t="s">
        <v>682</v>
      </c>
      <c r="Q114" s="20" t="s">
        <v>936</v>
      </c>
      <c r="R114" s="21" t="s">
        <v>35</v>
      </c>
      <c r="S114" s="22" t="s">
        <v>36</v>
      </c>
      <c r="T114" s="23" t="s">
        <v>1333</v>
      </c>
      <c r="U114" s="44" t="str">
        <f>HYPERLINK("https://my.pitchbook.com?p=92536-21P", "View people online")</f>
        <v>View people online</v>
      </c>
    </row>
    <row r="115" spans="1:21" x14ac:dyDescent="0.3">
      <c r="A115" s="24" t="s">
        <v>1334</v>
      </c>
      <c r="B115" s="25" t="s">
        <v>1335</v>
      </c>
      <c r="C115" s="26" t="s">
        <v>1336</v>
      </c>
      <c r="D115" s="27" t="s">
        <v>1337</v>
      </c>
      <c r="E115" s="28" t="s">
        <v>645</v>
      </c>
      <c r="F115" s="29" t="s">
        <v>1338</v>
      </c>
      <c r="G115" s="30" t="s">
        <v>36</v>
      </c>
      <c r="H115" s="31">
        <v>4</v>
      </c>
      <c r="I115" s="32">
        <v>2</v>
      </c>
      <c r="J115" s="33" t="s">
        <v>1339</v>
      </c>
      <c r="K115" s="34" t="s">
        <v>1340</v>
      </c>
      <c r="L115" s="35" t="s">
        <v>224</v>
      </c>
      <c r="M115" s="36" t="s">
        <v>1341</v>
      </c>
      <c r="N115" s="37" t="s">
        <v>36</v>
      </c>
      <c r="O115" s="38" t="s">
        <v>226</v>
      </c>
      <c r="P115" s="39" t="s">
        <v>50</v>
      </c>
      <c r="Q115" s="40" t="s">
        <v>227</v>
      </c>
      <c r="R115" s="41" t="s">
        <v>35</v>
      </c>
      <c r="S115" s="42" t="s">
        <v>36</v>
      </c>
      <c r="T115" s="43" t="s">
        <v>1342</v>
      </c>
      <c r="U115" s="45" t="str">
        <f>HYPERLINK("https://my.pitchbook.com?p=15731-20P", "View people online")</f>
        <v>View people online</v>
      </c>
    </row>
    <row r="116" spans="1:21" x14ac:dyDescent="0.3">
      <c r="A116" s="4" t="s">
        <v>1343</v>
      </c>
      <c r="B116" s="5" t="s">
        <v>1344</v>
      </c>
      <c r="C116" s="6" t="s">
        <v>1345</v>
      </c>
      <c r="D116" s="7" t="s">
        <v>1346</v>
      </c>
      <c r="E116" s="8" t="s">
        <v>942</v>
      </c>
      <c r="F116" s="9" t="s">
        <v>1347</v>
      </c>
      <c r="G116" s="10" t="s">
        <v>36</v>
      </c>
      <c r="H116" s="11">
        <v>4</v>
      </c>
      <c r="I116" s="12">
        <v>2</v>
      </c>
      <c r="J116" s="13" t="s">
        <v>1348</v>
      </c>
      <c r="K116" s="14" t="s">
        <v>1349</v>
      </c>
      <c r="L116" s="15" t="s">
        <v>1350</v>
      </c>
      <c r="M116" s="16" t="s">
        <v>36</v>
      </c>
      <c r="N116" s="17" t="s">
        <v>36</v>
      </c>
      <c r="O116" s="18" t="s">
        <v>1351</v>
      </c>
      <c r="P116" s="19" t="s">
        <v>50</v>
      </c>
      <c r="Q116" s="20" t="s">
        <v>36</v>
      </c>
      <c r="R116" s="21" t="s">
        <v>35</v>
      </c>
      <c r="S116" s="22" t="s">
        <v>36</v>
      </c>
      <c r="T116" s="23" t="s">
        <v>1352</v>
      </c>
      <c r="U116" s="44" t="str">
        <f>HYPERLINK("https://my.pitchbook.com?p=96686-83P", "View people online")</f>
        <v>View people online</v>
      </c>
    </row>
    <row r="117" spans="1:21" x14ac:dyDescent="0.3">
      <c r="A117" s="24" t="s">
        <v>1353</v>
      </c>
      <c r="B117" s="25" t="s">
        <v>1354</v>
      </c>
      <c r="C117" s="26" t="s">
        <v>1355</v>
      </c>
      <c r="D117" s="27" t="s">
        <v>1356</v>
      </c>
      <c r="E117" s="28" t="s">
        <v>354</v>
      </c>
      <c r="F117" s="29" t="s">
        <v>1357</v>
      </c>
      <c r="G117" s="30" t="s">
        <v>36</v>
      </c>
      <c r="H117" s="31">
        <v>4</v>
      </c>
      <c r="I117" s="32">
        <v>2</v>
      </c>
      <c r="J117" s="33" t="s">
        <v>36</v>
      </c>
      <c r="K117" s="34" t="s">
        <v>1358</v>
      </c>
      <c r="L117" s="35" t="s">
        <v>183</v>
      </c>
      <c r="M117" s="36" t="s">
        <v>1359</v>
      </c>
      <c r="N117" s="37" t="s">
        <v>997</v>
      </c>
      <c r="O117" s="38" t="s">
        <v>186</v>
      </c>
      <c r="P117" s="39" t="s">
        <v>50</v>
      </c>
      <c r="Q117" s="40" t="s">
        <v>575</v>
      </c>
      <c r="R117" s="41" t="s">
        <v>35</v>
      </c>
      <c r="S117" s="42" t="s">
        <v>36</v>
      </c>
      <c r="T117" s="43" t="s">
        <v>1360</v>
      </c>
      <c r="U117" s="45" t="str">
        <f>HYPERLINK("https://my.pitchbook.com?p=48351-88P", "View people online")</f>
        <v>View people online</v>
      </c>
    </row>
    <row r="118" spans="1:21" x14ac:dyDescent="0.3">
      <c r="A118" s="4" t="s">
        <v>1361</v>
      </c>
      <c r="B118" s="5" t="s">
        <v>1362</v>
      </c>
      <c r="C118" s="6" t="s">
        <v>1363</v>
      </c>
      <c r="D118" s="7" t="s">
        <v>800</v>
      </c>
      <c r="E118" s="8" t="s">
        <v>1364</v>
      </c>
      <c r="F118" s="9" t="s">
        <v>1365</v>
      </c>
      <c r="G118" s="10">
        <v>4</v>
      </c>
      <c r="H118" s="11">
        <v>4</v>
      </c>
      <c r="I118" s="12" t="s">
        <v>36</v>
      </c>
      <c r="J118" s="13" t="s">
        <v>1366</v>
      </c>
      <c r="K118" s="14" t="s">
        <v>1367</v>
      </c>
      <c r="L118" s="15" t="s">
        <v>295</v>
      </c>
      <c r="M118" s="16" t="s">
        <v>1368</v>
      </c>
      <c r="N118" s="17" t="s">
        <v>36</v>
      </c>
      <c r="O118" s="18" t="s">
        <v>298</v>
      </c>
      <c r="P118" s="19" t="s">
        <v>50</v>
      </c>
      <c r="Q118" s="20" t="s">
        <v>1272</v>
      </c>
      <c r="R118" s="21" t="s">
        <v>35</v>
      </c>
      <c r="S118" s="22" t="s">
        <v>36</v>
      </c>
      <c r="T118" s="23" t="s">
        <v>1369</v>
      </c>
      <c r="U118" s="44" t="str">
        <f>HYPERLINK("https://my.pitchbook.com?p=49552-75P", "View people online")</f>
        <v>View people online</v>
      </c>
    </row>
    <row r="119" spans="1:21" x14ac:dyDescent="0.3">
      <c r="A119" s="24" t="s">
        <v>1370</v>
      </c>
      <c r="B119" s="25" t="s">
        <v>1371</v>
      </c>
      <c r="C119" s="26" t="s">
        <v>1372</v>
      </c>
      <c r="D119" s="27" t="s">
        <v>1373</v>
      </c>
      <c r="E119" s="28" t="s">
        <v>1121</v>
      </c>
      <c r="F119" s="29" t="s">
        <v>1374</v>
      </c>
      <c r="G119" s="30">
        <v>1</v>
      </c>
      <c r="H119" s="31">
        <v>4</v>
      </c>
      <c r="I119" s="32">
        <v>1</v>
      </c>
      <c r="J119" s="33" t="s">
        <v>1375</v>
      </c>
      <c r="K119" s="34" t="s">
        <v>1376</v>
      </c>
      <c r="L119" s="35" t="s">
        <v>1377</v>
      </c>
      <c r="M119" s="36" t="s">
        <v>1378</v>
      </c>
      <c r="N119" s="37" t="s">
        <v>566</v>
      </c>
      <c r="O119" s="38" t="s">
        <v>1379</v>
      </c>
      <c r="P119" s="39" t="s">
        <v>50</v>
      </c>
      <c r="Q119" s="40" t="s">
        <v>1380</v>
      </c>
      <c r="R119" s="41" t="s">
        <v>35</v>
      </c>
      <c r="S119" s="42" t="s">
        <v>1381</v>
      </c>
      <c r="T119" s="43" t="s">
        <v>1382</v>
      </c>
      <c r="U119" s="45" t="str">
        <f>HYPERLINK("https://my.pitchbook.com?p=100479-43P", "View people online")</f>
        <v>View people online</v>
      </c>
    </row>
    <row r="120" spans="1:21" x14ac:dyDescent="0.3">
      <c r="A120" s="4" t="s">
        <v>1383</v>
      </c>
      <c r="B120" s="5" t="s">
        <v>1384</v>
      </c>
      <c r="C120" s="6" t="s">
        <v>1385</v>
      </c>
      <c r="D120" s="7" t="s">
        <v>1386</v>
      </c>
      <c r="E120" s="8" t="s">
        <v>1387</v>
      </c>
      <c r="F120" s="9" t="s">
        <v>1388</v>
      </c>
      <c r="G120" s="10">
        <v>2</v>
      </c>
      <c r="H120" s="11">
        <v>4</v>
      </c>
      <c r="I120" s="12">
        <v>2</v>
      </c>
      <c r="J120" s="13" t="s">
        <v>1389</v>
      </c>
      <c r="K120" s="14" t="s">
        <v>1390</v>
      </c>
      <c r="L120" s="15" t="s">
        <v>1391</v>
      </c>
      <c r="M120" s="16" t="s">
        <v>1392</v>
      </c>
      <c r="N120" s="17" t="s">
        <v>36</v>
      </c>
      <c r="O120" s="18" t="s">
        <v>1393</v>
      </c>
      <c r="P120" s="19" t="s">
        <v>1394</v>
      </c>
      <c r="Q120" s="20" t="s">
        <v>1395</v>
      </c>
      <c r="R120" s="21" t="s">
        <v>35</v>
      </c>
      <c r="S120" s="22" t="s">
        <v>1396</v>
      </c>
      <c r="T120" s="23" t="s">
        <v>1397</v>
      </c>
      <c r="U120" s="44" t="str">
        <f>HYPERLINK("https://my.pitchbook.com?p=22443-67P", "View people online")</f>
        <v>View people online</v>
      </c>
    </row>
    <row r="121" spans="1:21" x14ac:dyDescent="0.3">
      <c r="A121" s="24" t="s">
        <v>1398</v>
      </c>
      <c r="B121" s="25" t="s">
        <v>1399</v>
      </c>
      <c r="C121" s="26" t="s">
        <v>1400</v>
      </c>
      <c r="D121" s="27" t="s">
        <v>1401</v>
      </c>
      <c r="E121" s="28" t="s">
        <v>1302</v>
      </c>
      <c r="F121" s="29" t="s">
        <v>1402</v>
      </c>
      <c r="G121" s="30">
        <v>1</v>
      </c>
      <c r="H121" s="31">
        <v>4</v>
      </c>
      <c r="I121" s="32">
        <v>1</v>
      </c>
      <c r="J121" s="33" t="s">
        <v>36</v>
      </c>
      <c r="K121" s="34" t="s">
        <v>1403</v>
      </c>
      <c r="L121" s="35" t="s">
        <v>1404</v>
      </c>
      <c r="M121" s="36" t="s">
        <v>1405</v>
      </c>
      <c r="N121" s="37" t="s">
        <v>1406</v>
      </c>
      <c r="O121" s="38" t="s">
        <v>1407</v>
      </c>
      <c r="P121" s="39" t="s">
        <v>50</v>
      </c>
      <c r="Q121" s="40" t="s">
        <v>1408</v>
      </c>
      <c r="R121" s="41" t="s">
        <v>35</v>
      </c>
      <c r="S121" s="42" t="s">
        <v>36</v>
      </c>
      <c r="T121" s="43" t="s">
        <v>1409</v>
      </c>
      <c r="U121" s="45" t="str">
        <f>HYPERLINK("https://my.pitchbook.com?p=96412-42P", "View people online")</f>
        <v>View people online</v>
      </c>
    </row>
    <row r="122" spans="1:21" x14ac:dyDescent="0.3">
      <c r="A122" s="4" t="s">
        <v>1410</v>
      </c>
      <c r="B122" s="5" t="s">
        <v>1411</v>
      </c>
      <c r="C122" s="6" t="s">
        <v>1130</v>
      </c>
      <c r="D122" s="7" t="s">
        <v>1412</v>
      </c>
      <c r="E122" s="8" t="s">
        <v>1413</v>
      </c>
      <c r="F122" s="9" t="s">
        <v>1414</v>
      </c>
      <c r="G122" s="10">
        <v>1</v>
      </c>
      <c r="H122" s="11">
        <v>3</v>
      </c>
      <c r="I122" s="12">
        <v>1</v>
      </c>
      <c r="J122" s="13" t="s">
        <v>36</v>
      </c>
      <c r="K122" s="14" t="s">
        <v>1415</v>
      </c>
      <c r="L122" s="15" t="s">
        <v>1404</v>
      </c>
      <c r="M122" s="16" t="s">
        <v>1416</v>
      </c>
      <c r="N122" s="17" t="s">
        <v>36</v>
      </c>
      <c r="O122" s="18" t="s">
        <v>1407</v>
      </c>
      <c r="P122" s="19" t="s">
        <v>50</v>
      </c>
      <c r="Q122" s="20" t="s">
        <v>1417</v>
      </c>
      <c r="R122" s="21" t="s">
        <v>35</v>
      </c>
      <c r="S122" s="22" t="s">
        <v>36</v>
      </c>
      <c r="T122" s="23" t="s">
        <v>1418</v>
      </c>
      <c r="U122" s="44" t="str">
        <f>HYPERLINK("https://my.pitchbook.com?p=96398-20P", "View people online")</f>
        <v>View people online</v>
      </c>
    </row>
    <row r="123" spans="1:21" x14ac:dyDescent="0.3">
      <c r="A123" s="24" t="s">
        <v>1419</v>
      </c>
      <c r="B123" s="25" t="s">
        <v>1420</v>
      </c>
      <c r="C123" s="26" t="s">
        <v>1421</v>
      </c>
      <c r="D123" s="27" t="s">
        <v>1422</v>
      </c>
      <c r="E123" s="28" t="s">
        <v>689</v>
      </c>
      <c r="F123" s="29" t="s">
        <v>1423</v>
      </c>
      <c r="G123" s="30">
        <v>1</v>
      </c>
      <c r="H123" s="31">
        <v>3</v>
      </c>
      <c r="I123" s="32" t="s">
        <v>36</v>
      </c>
      <c r="J123" s="33" t="s">
        <v>36</v>
      </c>
      <c r="K123" s="34" t="s">
        <v>1424</v>
      </c>
      <c r="L123" s="35" t="s">
        <v>183</v>
      </c>
      <c r="M123" s="36" t="s">
        <v>735</v>
      </c>
      <c r="N123" s="37" t="s">
        <v>1425</v>
      </c>
      <c r="O123" s="38" t="s">
        <v>186</v>
      </c>
      <c r="P123" s="39" t="s">
        <v>50</v>
      </c>
      <c r="Q123" s="40" t="s">
        <v>575</v>
      </c>
      <c r="R123" s="41" t="s">
        <v>35</v>
      </c>
      <c r="S123" s="42" t="s">
        <v>36</v>
      </c>
      <c r="T123" s="43" t="s">
        <v>1426</v>
      </c>
      <c r="U123" s="45" t="str">
        <f>HYPERLINK("https://my.pitchbook.com?p=41347-36P", "View people online")</f>
        <v>View people online</v>
      </c>
    </row>
    <row r="124" spans="1:21" x14ac:dyDescent="0.3">
      <c r="A124" s="4" t="s">
        <v>1427</v>
      </c>
      <c r="B124" s="5" t="s">
        <v>1428</v>
      </c>
      <c r="C124" s="6" t="s">
        <v>1429</v>
      </c>
      <c r="D124" s="7" t="s">
        <v>1430</v>
      </c>
      <c r="E124" s="8" t="s">
        <v>1431</v>
      </c>
      <c r="F124" s="9" t="s">
        <v>1432</v>
      </c>
      <c r="G124" s="10">
        <v>1</v>
      </c>
      <c r="H124" s="11">
        <v>3</v>
      </c>
      <c r="I124" s="12" t="s">
        <v>36</v>
      </c>
      <c r="J124" s="13" t="s">
        <v>1433</v>
      </c>
      <c r="K124" s="14" t="s">
        <v>1434</v>
      </c>
      <c r="L124" s="15" t="s">
        <v>1435</v>
      </c>
      <c r="M124" s="16" t="s">
        <v>1436</v>
      </c>
      <c r="N124" s="17" t="s">
        <v>1437</v>
      </c>
      <c r="O124" s="18" t="s">
        <v>1438</v>
      </c>
      <c r="P124" s="19" t="s">
        <v>501</v>
      </c>
      <c r="Q124" s="20" t="s">
        <v>36</v>
      </c>
      <c r="R124" s="21" t="s">
        <v>35</v>
      </c>
      <c r="S124" s="22" t="s">
        <v>36</v>
      </c>
      <c r="T124" s="23" t="s">
        <v>1439</v>
      </c>
      <c r="U124" s="44" t="str">
        <f>HYPERLINK("https://my.pitchbook.com?p=172267-93P", "View people online")</f>
        <v>View people online</v>
      </c>
    </row>
    <row r="125" spans="1:21" x14ac:dyDescent="0.3">
      <c r="A125" s="24" t="s">
        <v>1440</v>
      </c>
      <c r="B125" s="25" t="s">
        <v>1441</v>
      </c>
      <c r="C125" s="26" t="s">
        <v>1442</v>
      </c>
      <c r="D125" s="27" t="s">
        <v>1443</v>
      </c>
      <c r="E125" s="28" t="s">
        <v>314</v>
      </c>
      <c r="F125" s="29" t="s">
        <v>1444</v>
      </c>
      <c r="G125" s="30">
        <v>1</v>
      </c>
      <c r="H125" s="31">
        <v>3</v>
      </c>
      <c r="I125" s="32">
        <v>1</v>
      </c>
      <c r="J125" s="33" t="s">
        <v>1445</v>
      </c>
      <c r="K125" s="34" t="s">
        <v>1446</v>
      </c>
      <c r="L125" s="35" t="s">
        <v>183</v>
      </c>
      <c r="M125" s="36" t="s">
        <v>1447</v>
      </c>
      <c r="N125" s="37" t="s">
        <v>1187</v>
      </c>
      <c r="O125" s="38" t="s">
        <v>186</v>
      </c>
      <c r="P125" s="39" t="s">
        <v>50</v>
      </c>
      <c r="Q125" s="40" t="s">
        <v>147</v>
      </c>
      <c r="R125" s="41" t="s">
        <v>35</v>
      </c>
      <c r="S125" s="42" t="s">
        <v>36</v>
      </c>
      <c r="T125" s="43" t="s">
        <v>1448</v>
      </c>
      <c r="U125" s="45" t="str">
        <f>HYPERLINK("https://my.pitchbook.com?p=112629-25P", "View people online")</f>
        <v>View people online</v>
      </c>
    </row>
    <row r="126" spans="1:21" x14ac:dyDescent="0.3">
      <c r="A126" s="4" t="s">
        <v>1449</v>
      </c>
      <c r="B126" s="5" t="s">
        <v>1450</v>
      </c>
      <c r="C126" s="6" t="s">
        <v>1451</v>
      </c>
      <c r="D126" s="7" t="s">
        <v>862</v>
      </c>
      <c r="E126" s="8" t="s">
        <v>1452</v>
      </c>
      <c r="F126" s="9" t="s">
        <v>1453</v>
      </c>
      <c r="G126" s="10" t="s">
        <v>36</v>
      </c>
      <c r="H126" s="11">
        <v>3</v>
      </c>
      <c r="I126" s="12">
        <v>1</v>
      </c>
      <c r="J126" s="13" t="s">
        <v>1454</v>
      </c>
      <c r="K126" s="14" t="s">
        <v>1455</v>
      </c>
      <c r="L126" s="15" t="s">
        <v>1456</v>
      </c>
      <c r="M126" s="16" t="s">
        <v>1457</v>
      </c>
      <c r="N126" s="17" t="s">
        <v>1458</v>
      </c>
      <c r="O126" s="18" t="s">
        <v>1459</v>
      </c>
      <c r="P126" s="19" t="s">
        <v>1460</v>
      </c>
      <c r="Q126" s="20" t="s">
        <v>36</v>
      </c>
      <c r="R126" s="21" t="s">
        <v>1461</v>
      </c>
      <c r="S126" s="22" t="s">
        <v>36</v>
      </c>
      <c r="T126" s="23" t="s">
        <v>1462</v>
      </c>
      <c r="U126" s="44" t="str">
        <f>HYPERLINK("https://my.pitchbook.com?p=80553-52P", "View people online")</f>
        <v>View people online</v>
      </c>
    </row>
    <row r="127" spans="1:21" x14ac:dyDescent="0.3">
      <c r="A127" s="24" t="s">
        <v>1463</v>
      </c>
      <c r="B127" s="25" t="s">
        <v>1464</v>
      </c>
      <c r="C127" s="26" t="s">
        <v>1465</v>
      </c>
      <c r="D127" s="27" t="s">
        <v>1466</v>
      </c>
      <c r="E127" s="28" t="s">
        <v>179</v>
      </c>
      <c r="F127" s="29" t="s">
        <v>1467</v>
      </c>
      <c r="G127" s="30">
        <v>2</v>
      </c>
      <c r="H127" s="31">
        <v>3</v>
      </c>
      <c r="I127" s="32" t="s">
        <v>36</v>
      </c>
      <c r="J127" s="33" t="s">
        <v>36</v>
      </c>
      <c r="K127" s="34" t="s">
        <v>1468</v>
      </c>
      <c r="L127" s="35" t="s">
        <v>1469</v>
      </c>
      <c r="M127" s="36" t="s">
        <v>1470</v>
      </c>
      <c r="N127" s="37" t="s">
        <v>36</v>
      </c>
      <c r="O127" s="38" t="s">
        <v>1471</v>
      </c>
      <c r="P127" s="39" t="s">
        <v>50</v>
      </c>
      <c r="Q127" s="40" t="s">
        <v>1472</v>
      </c>
      <c r="R127" s="41" t="s">
        <v>35</v>
      </c>
      <c r="S127" s="42" t="s">
        <v>36</v>
      </c>
      <c r="T127" s="43" t="s">
        <v>1473</v>
      </c>
      <c r="U127" s="45" t="str">
        <f>HYPERLINK("https://my.pitchbook.com?p=89775-55P", "View people online")</f>
        <v>View people online</v>
      </c>
    </row>
    <row r="128" spans="1:21" x14ac:dyDescent="0.3">
      <c r="A128" s="4" t="s">
        <v>1474</v>
      </c>
      <c r="B128" s="5" t="s">
        <v>1475</v>
      </c>
      <c r="C128" s="6" t="s">
        <v>1476</v>
      </c>
      <c r="D128" s="7" t="s">
        <v>139</v>
      </c>
      <c r="E128" s="8" t="s">
        <v>179</v>
      </c>
      <c r="F128" s="9" t="s">
        <v>1477</v>
      </c>
      <c r="G128" s="10">
        <v>2</v>
      </c>
      <c r="H128" s="11">
        <v>3</v>
      </c>
      <c r="I128" s="12" t="s">
        <v>36</v>
      </c>
      <c r="J128" s="13" t="s">
        <v>36</v>
      </c>
      <c r="K128" s="14" t="s">
        <v>1478</v>
      </c>
      <c r="L128" s="15" t="s">
        <v>1479</v>
      </c>
      <c r="M128" s="16" t="s">
        <v>1480</v>
      </c>
      <c r="N128" s="17" t="s">
        <v>36</v>
      </c>
      <c r="O128" s="18" t="s">
        <v>1481</v>
      </c>
      <c r="P128" s="19" t="s">
        <v>50</v>
      </c>
      <c r="Q128" s="20" t="s">
        <v>1482</v>
      </c>
      <c r="R128" s="21" t="s">
        <v>35</v>
      </c>
      <c r="S128" s="22" t="s">
        <v>36</v>
      </c>
      <c r="T128" s="23" t="s">
        <v>1483</v>
      </c>
      <c r="U128" s="44" t="str">
        <f>HYPERLINK("https://my.pitchbook.com?p=69430-78P", "View people online")</f>
        <v>View people online</v>
      </c>
    </row>
    <row r="129" spans="1:21" x14ac:dyDescent="0.3">
      <c r="A129" s="24" t="s">
        <v>1484</v>
      </c>
      <c r="B129" s="25" t="s">
        <v>1485</v>
      </c>
      <c r="C129" s="26" t="s">
        <v>1486</v>
      </c>
      <c r="D129" s="27" t="s">
        <v>139</v>
      </c>
      <c r="E129" s="28" t="s">
        <v>942</v>
      </c>
      <c r="F129" s="29" t="s">
        <v>1487</v>
      </c>
      <c r="G129" s="30" t="s">
        <v>36</v>
      </c>
      <c r="H129" s="31">
        <v>3</v>
      </c>
      <c r="I129" s="32">
        <v>1</v>
      </c>
      <c r="J129" s="33" t="s">
        <v>1488</v>
      </c>
      <c r="K129" s="34" t="s">
        <v>1489</v>
      </c>
      <c r="L129" s="35" t="s">
        <v>46</v>
      </c>
      <c r="M129" s="36" t="s">
        <v>1490</v>
      </c>
      <c r="N129" s="37" t="s">
        <v>36</v>
      </c>
      <c r="O129" s="38" t="s">
        <v>49</v>
      </c>
      <c r="P129" s="39" t="s">
        <v>50</v>
      </c>
      <c r="Q129" s="40" t="s">
        <v>51</v>
      </c>
      <c r="R129" s="41" t="s">
        <v>35</v>
      </c>
      <c r="S129" s="42" t="s">
        <v>1491</v>
      </c>
      <c r="T129" s="43" t="s">
        <v>1492</v>
      </c>
      <c r="U129" s="45" t="str">
        <f>HYPERLINK("https://my.pitchbook.com?p=40321-99P", "View people online")</f>
        <v>View people online</v>
      </c>
    </row>
    <row r="130" spans="1:21" x14ac:dyDescent="0.3">
      <c r="A130" s="4" t="s">
        <v>1493</v>
      </c>
      <c r="B130" s="5" t="s">
        <v>1494</v>
      </c>
      <c r="C130" s="6" t="s">
        <v>1495</v>
      </c>
      <c r="D130" s="7" t="s">
        <v>139</v>
      </c>
      <c r="E130" s="8" t="s">
        <v>314</v>
      </c>
      <c r="F130" s="9" t="s">
        <v>1496</v>
      </c>
      <c r="G130" s="10">
        <v>1</v>
      </c>
      <c r="H130" s="11">
        <v>3</v>
      </c>
      <c r="I130" s="12">
        <v>1</v>
      </c>
      <c r="J130" s="13" t="s">
        <v>1497</v>
      </c>
      <c r="K130" s="14" t="s">
        <v>1498</v>
      </c>
      <c r="L130" s="15" t="s">
        <v>1499</v>
      </c>
      <c r="M130" s="16" t="s">
        <v>1500</v>
      </c>
      <c r="N130" s="17" t="s">
        <v>36</v>
      </c>
      <c r="O130" s="18" t="s">
        <v>1501</v>
      </c>
      <c r="P130" s="19" t="s">
        <v>682</v>
      </c>
      <c r="Q130" s="20" t="s">
        <v>1502</v>
      </c>
      <c r="R130" s="21" t="s">
        <v>35</v>
      </c>
      <c r="S130" s="22" t="s">
        <v>36</v>
      </c>
      <c r="T130" s="23" t="s">
        <v>1503</v>
      </c>
      <c r="U130" s="44" t="str">
        <f>HYPERLINK("https://my.pitchbook.com?p=43842-70P", "View people online")</f>
        <v>View people online</v>
      </c>
    </row>
    <row r="131" spans="1:21" x14ac:dyDescent="0.3">
      <c r="A131" s="24" t="s">
        <v>1504</v>
      </c>
      <c r="B131" s="25" t="s">
        <v>1505</v>
      </c>
      <c r="C131" s="26" t="s">
        <v>1506</v>
      </c>
      <c r="D131" s="27" t="s">
        <v>1507</v>
      </c>
      <c r="E131" s="28" t="s">
        <v>314</v>
      </c>
      <c r="F131" s="29" t="s">
        <v>1508</v>
      </c>
      <c r="G131" s="30">
        <v>1</v>
      </c>
      <c r="H131" s="31">
        <v>3</v>
      </c>
      <c r="I131" s="32">
        <v>1</v>
      </c>
      <c r="J131" s="33" t="s">
        <v>1509</v>
      </c>
      <c r="K131" s="34" t="s">
        <v>1510</v>
      </c>
      <c r="L131" s="35" t="s">
        <v>1511</v>
      </c>
      <c r="M131" s="36" t="s">
        <v>1512</v>
      </c>
      <c r="N131" s="37" t="s">
        <v>1513</v>
      </c>
      <c r="O131" s="38" t="s">
        <v>1514</v>
      </c>
      <c r="P131" s="39" t="s">
        <v>50</v>
      </c>
      <c r="Q131" s="40" t="s">
        <v>1515</v>
      </c>
      <c r="R131" s="41" t="s">
        <v>35</v>
      </c>
      <c r="S131" s="42" t="s">
        <v>36</v>
      </c>
      <c r="T131" s="43" t="s">
        <v>1516</v>
      </c>
      <c r="U131" s="45" t="str">
        <f>HYPERLINK("https://my.pitchbook.com?p=142329-07P", "View people online")</f>
        <v>View people online</v>
      </c>
    </row>
    <row r="132" spans="1:21" x14ac:dyDescent="0.3">
      <c r="A132" s="4" t="s">
        <v>1517</v>
      </c>
      <c r="B132" s="5" t="s">
        <v>1518</v>
      </c>
      <c r="C132" s="6" t="s">
        <v>1519</v>
      </c>
      <c r="D132" s="7" t="s">
        <v>897</v>
      </c>
      <c r="E132" s="8" t="s">
        <v>1520</v>
      </c>
      <c r="F132" s="9" t="s">
        <v>1521</v>
      </c>
      <c r="G132" s="10" t="s">
        <v>36</v>
      </c>
      <c r="H132" s="11">
        <v>3</v>
      </c>
      <c r="I132" s="12">
        <v>1</v>
      </c>
      <c r="J132" s="13" t="s">
        <v>1522</v>
      </c>
      <c r="K132" s="14" t="s">
        <v>1523</v>
      </c>
      <c r="L132" s="15" t="s">
        <v>397</v>
      </c>
      <c r="M132" s="16" t="s">
        <v>1524</v>
      </c>
      <c r="N132" s="17" t="s">
        <v>1525</v>
      </c>
      <c r="O132" s="18" t="s">
        <v>400</v>
      </c>
      <c r="P132" s="19" t="s">
        <v>400</v>
      </c>
      <c r="Q132" s="20" t="s">
        <v>1061</v>
      </c>
      <c r="R132" s="21" t="s">
        <v>35</v>
      </c>
      <c r="S132" s="22" t="s">
        <v>1526</v>
      </c>
      <c r="T132" s="23" t="s">
        <v>1527</v>
      </c>
      <c r="U132" s="44" t="str">
        <f>HYPERLINK("https://my.pitchbook.com?p=39999-25P", "View people online")</f>
        <v>View people online</v>
      </c>
    </row>
    <row r="133" spans="1:21" x14ac:dyDescent="0.3">
      <c r="A133" s="24" t="s">
        <v>1528</v>
      </c>
      <c r="B133" s="25" t="s">
        <v>1529</v>
      </c>
      <c r="C133" s="26" t="s">
        <v>1530</v>
      </c>
      <c r="D133" s="27" t="s">
        <v>897</v>
      </c>
      <c r="E133" s="28" t="s">
        <v>1531</v>
      </c>
      <c r="F133" s="29" t="s">
        <v>1532</v>
      </c>
      <c r="G133" s="30">
        <v>2</v>
      </c>
      <c r="H133" s="31">
        <v>3</v>
      </c>
      <c r="I133" s="32" t="s">
        <v>36</v>
      </c>
      <c r="J133" s="33" t="s">
        <v>1533</v>
      </c>
      <c r="K133" s="34" t="s">
        <v>1534</v>
      </c>
      <c r="L133" s="35" t="s">
        <v>1535</v>
      </c>
      <c r="M133" s="36" t="s">
        <v>1536</v>
      </c>
      <c r="N133" s="37" t="s">
        <v>806</v>
      </c>
      <c r="O133" s="38" t="s">
        <v>1537</v>
      </c>
      <c r="P133" s="39" t="s">
        <v>1030</v>
      </c>
      <c r="Q133" s="40" t="s">
        <v>1538</v>
      </c>
      <c r="R133" s="41" t="s">
        <v>35</v>
      </c>
      <c r="S133" s="42" t="s">
        <v>36</v>
      </c>
      <c r="T133" s="43" t="s">
        <v>1539</v>
      </c>
      <c r="U133" s="45" t="str">
        <f>HYPERLINK("https://my.pitchbook.com?p=36393-76P", "View people online")</f>
        <v>View people online</v>
      </c>
    </row>
    <row r="134" spans="1:21" x14ac:dyDescent="0.3">
      <c r="A134" s="4" t="s">
        <v>1540</v>
      </c>
      <c r="B134" s="5" t="s">
        <v>1541</v>
      </c>
      <c r="C134" s="6" t="s">
        <v>1542</v>
      </c>
      <c r="D134" s="7" t="s">
        <v>897</v>
      </c>
      <c r="E134" s="8" t="s">
        <v>1543</v>
      </c>
      <c r="F134" s="9" t="s">
        <v>1544</v>
      </c>
      <c r="G134" s="10">
        <v>1</v>
      </c>
      <c r="H134" s="11">
        <v>3</v>
      </c>
      <c r="I134" s="12">
        <v>2</v>
      </c>
      <c r="J134" s="13" t="s">
        <v>1545</v>
      </c>
      <c r="K134" s="14" t="s">
        <v>1546</v>
      </c>
      <c r="L134" s="15" t="s">
        <v>1547</v>
      </c>
      <c r="M134" s="16" t="s">
        <v>1548</v>
      </c>
      <c r="N134" s="17" t="s">
        <v>36</v>
      </c>
      <c r="O134" s="18" t="s">
        <v>1549</v>
      </c>
      <c r="P134" s="19" t="s">
        <v>33</v>
      </c>
      <c r="Q134" s="20" t="s">
        <v>1550</v>
      </c>
      <c r="R134" s="21" t="s">
        <v>35</v>
      </c>
      <c r="S134" s="22" t="s">
        <v>1551</v>
      </c>
      <c r="T134" s="23" t="s">
        <v>1552</v>
      </c>
      <c r="U134" s="44" t="str">
        <f>HYPERLINK("https://my.pitchbook.com?p=30674-80P", "View people online")</f>
        <v>View people online</v>
      </c>
    </row>
    <row r="135" spans="1:21" x14ac:dyDescent="0.3">
      <c r="A135" s="24" t="s">
        <v>1553</v>
      </c>
      <c r="B135" s="25" t="s">
        <v>1554</v>
      </c>
      <c r="C135" s="26" t="s">
        <v>1555</v>
      </c>
      <c r="D135" s="27" t="s">
        <v>1556</v>
      </c>
      <c r="E135" s="28" t="s">
        <v>179</v>
      </c>
      <c r="F135" s="29" t="s">
        <v>1557</v>
      </c>
      <c r="G135" s="30" t="s">
        <v>36</v>
      </c>
      <c r="H135" s="31">
        <v>3</v>
      </c>
      <c r="I135" s="32">
        <v>2</v>
      </c>
      <c r="J135" s="33" t="s">
        <v>1558</v>
      </c>
      <c r="K135" s="34" t="s">
        <v>1559</v>
      </c>
      <c r="L135" s="35" t="s">
        <v>1404</v>
      </c>
      <c r="M135" s="36" t="s">
        <v>1560</v>
      </c>
      <c r="N135" s="37" t="s">
        <v>1561</v>
      </c>
      <c r="O135" s="38" t="s">
        <v>1407</v>
      </c>
      <c r="P135" s="39" t="s">
        <v>50</v>
      </c>
      <c r="Q135" s="40" t="s">
        <v>1562</v>
      </c>
      <c r="R135" s="41" t="s">
        <v>35</v>
      </c>
      <c r="S135" s="42" t="s">
        <v>1563</v>
      </c>
      <c r="T135" s="43" t="s">
        <v>1564</v>
      </c>
      <c r="U135" s="45" t="str">
        <f>HYPERLINK("https://my.pitchbook.com?p=44090-56P", "View people online")</f>
        <v>View people online</v>
      </c>
    </row>
    <row r="136" spans="1:21" x14ac:dyDescent="0.3">
      <c r="A136" s="4" t="s">
        <v>1565</v>
      </c>
      <c r="B136" s="5" t="s">
        <v>1566</v>
      </c>
      <c r="C136" s="6" t="s">
        <v>1567</v>
      </c>
      <c r="D136" s="7" t="s">
        <v>1568</v>
      </c>
      <c r="E136" s="8" t="s">
        <v>1569</v>
      </c>
      <c r="F136" s="9" t="s">
        <v>1570</v>
      </c>
      <c r="G136" s="10" t="s">
        <v>36</v>
      </c>
      <c r="H136" s="11">
        <v>3</v>
      </c>
      <c r="I136" s="12" t="s">
        <v>36</v>
      </c>
      <c r="J136" s="13" t="s">
        <v>36</v>
      </c>
      <c r="K136" s="14" t="s">
        <v>1571</v>
      </c>
      <c r="L136" s="15" t="s">
        <v>250</v>
      </c>
      <c r="M136" s="16" t="s">
        <v>36</v>
      </c>
      <c r="N136" s="17" t="s">
        <v>36</v>
      </c>
      <c r="O136" s="18" t="s">
        <v>253</v>
      </c>
      <c r="P136" s="19" t="s">
        <v>50</v>
      </c>
      <c r="Q136" s="20" t="s">
        <v>36</v>
      </c>
      <c r="R136" s="21" t="s">
        <v>35</v>
      </c>
      <c r="S136" s="22" t="s">
        <v>36</v>
      </c>
      <c r="T136" s="23" t="s">
        <v>1572</v>
      </c>
      <c r="U136" s="44" t="str">
        <f>HYPERLINK("https://my.pitchbook.com?p=186999-76P", "View people online")</f>
        <v>View people online</v>
      </c>
    </row>
    <row r="137" spans="1:21" x14ac:dyDescent="0.3">
      <c r="A137" s="24" t="s">
        <v>1573</v>
      </c>
      <c r="B137" s="25" t="s">
        <v>1574</v>
      </c>
      <c r="C137" s="26" t="s">
        <v>1575</v>
      </c>
      <c r="D137" s="27" t="s">
        <v>1576</v>
      </c>
      <c r="E137" s="28" t="s">
        <v>1577</v>
      </c>
      <c r="F137" s="29" t="s">
        <v>1578</v>
      </c>
      <c r="G137" s="30">
        <v>2</v>
      </c>
      <c r="H137" s="31">
        <v>3</v>
      </c>
      <c r="I137" s="32" t="s">
        <v>36</v>
      </c>
      <c r="J137" s="33" t="s">
        <v>1579</v>
      </c>
      <c r="K137" s="34" t="s">
        <v>1580</v>
      </c>
      <c r="L137" s="35" t="s">
        <v>1112</v>
      </c>
      <c r="M137" s="36" t="s">
        <v>1581</v>
      </c>
      <c r="N137" s="37" t="s">
        <v>705</v>
      </c>
      <c r="O137" s="38" t="s">
        <v>1114</v>
      </c>
      <c r="P137" s="39" t="s">
        <v>1115</v>
      </c>
      <c r="Q137" s="40" t="s">
        <v>1582</v>
      </c>
      <c r="R137" s="41" t="s">
        <v>35</v>
      </c>
      <c r="S137" s="42" t="s">
        <v>36</v>
      </c>
      <c r="T137" s="43" t="s">
        <v>1583</v>
      </c>
      <c r="U137" s="45" t="str">
        <f>HYPERLINK("https://my.pitchbook.com?p=139601-17P", "View people online")</f>
        <v>View people online</v>
      </c>
    </row>
    <row r="138" spans="1:21" x14ac:dyDescent="0.3">
      <c r="A138" s="4" t="s">
        <v>1584</v>
      </c>
      <c r="B138" s="5" t="s">
        <v>1585</v>
      </c>
      <c r="C138" s="6" t="s">
        <v>1586</v>
      </c>
      <c r="D138" s="7" t="s">
        <v>1587</v>
      </c>
      <c r="E138" s="8" t="s">
        <v>1588</v>
      </c>
      <c r="F138" s="9" t="s">
        <v>1589</v>
      </c>
      <c r="G138" s="10" t="s">
        <v>36</v>
      </c>
      <c r="H138" s="11">
        <v>3</v>
      </c>
      <c r="I138" s="12">
        <v>1</v>
      </c>
      <c r="J138" s="13" t="s">
        <v>36</v>
      </c>
      <c r="K138" s="14" t="s">
        <v>1590</v>
      </c>
      <c r="L138" s="15" t="s">
        <v>1404</v>
      </c>
      <c r="M138" s="16" t="s">
        <v>1591</v>
      </c>
      <c r="N138" s="17" t="s">
        <v>36</v>
      </c>
      <c r="O138" s="18" t="s">
        <v>1407</v>
      </c>
      <c r="P138" s="19" t="s">
        <v>50</v>
      </c>
      <c r="Q138" s="20" t="s">
        <v>1592</v>
      </c>
      <c r="R138" s="21" t="s">
        <v>35</v>
      </c>
      <c r="S138" s="22" t="s">
        <v>36</v>
      </c>
      <c r="T138" s="23" t="s">
        <v>1593</v>
      </c>
      <c r="U138" s="44" t="str">
        <f>HYPERLINK("https://my.pitchbook.com?p=144846-46P", "View people online")</f>
        <v>View people online</v>
      </c>
    </row>
    <row r="139" spans="1:21" x14ac:dyDescent="0.3">
      <c r="A139" s="24" t="s">
        <v>1594</v>
      </c>
      <c r="B139" s="25" t="s">
        <v>1595</v>
      </c>
      <c r="C139" s="26" t="s">
        <v>1130</v>
      </c>
      <c r="D139" s="27" t="s">
        <v>1596</v>
      </c>
      <c r="E139" s="28" t="s">
        <v>1597</v>
      </c>
      <c r="F139" s="29" t="s">
        <v>1598</v>
      </c>
      <c r="G139" s="30">
        <v>1</v>
      </c>
      <c r="H139" s="31">
        <v>3</v>
      </c>
      <c r="I139" s="32">
        <v>1</v>
      </c>
      <c r="J139" s="33" t="s">
        <v>1599</v>
      </c>
      <c r="K139" s="34" t="s">
        <v>1600</v>
      </c>
      <c r="L139" s="35" t="s">
        <v>210</v>
      </c>
      <c r="M139" s="36" t="s">
        <v>1601</v>
      </c>
      <c r="N139" s="37" t="s">
        <v>36</v>
      </c>
      <c r="O139" s="38" t="s">
        <v>213</v>
      </c>
      <c r="P139" s="39" t="s">
        <v>50</v>
      </c>
      <c r="Q139" s="40" t="s">
        <v>979</v>
      </c>
      <c r="R139" s="41" t="s">
        <v>35</v>
      </c>
      <c r="S139" s="42" t="s">
        <v>36</v>
      </c>
      <c r="T139" s="43" t="s">
        <v>1602</v>
      </c>
      <c r="U139" s="45" t="str">
        <f>HYPERLINK("https://my.pitchbook.com?p=35320-15P", "View people online")</f>
        <v>View people online</v>
      </c>
    </row>
    <row r="140" spans="1:21" x14ac:dyDescent="0.3">
      <c r="A140" s="4" t="s">
        <v>1603</v>
      </c>
      <c r="B140" s="5" t="s">
        <v>1604</v>
      </c>
      <c r="C140" s="6" t="s">
        <v>1605</v>
      </c>
      <c r="D140" s="7" t="s">
        <v>1606</v>
      </c>
      <c r="E140" s="8" t="s">
        <v>1607</v>
      </c>
      <c r="F140" s="9" t="s">
        <v>1608</v>
      </c>
      <c r="G140" s="10" t="s">
        <v>36</v>
      </c>
      <c r="H140" s="11">
        <v>3</v>
      </c>
      <c r="I140" s="12" t="s">
        <v>36</v>
      </c>
      <c r="J140" s="13" t="s">
        <v>36</v>
      </c>
      <c r="K140" s="14" t="s">
        <v>1609</v>
      </c>
      <c r="L140" s="15" t="s">
        <v>1610</v>
      </c>
      <c r="M140" s="16" t="s">
        <v>1611</v>
      </c>
      <c r="N140" s="17" t="s">
        <v>36</v>
      </c>
      <c r="O140" s="18" t="s">
        <v>1612</v>
      </c>
      <c r="P140" s="19" t="s">
        <v>36</v>
      </c>
      <c r="Q140" s="20" t="s">
        <v>1613</v>
      </c>
      <c r="R140" s="21" t="s">
        <v>1261</v>
      </c>
      <c r="S140" s="22" t="s">
        <v>36</v>
      </c>
      <c r="T140" s="23" t="s">
        <v>1614</v>
      </c>
      <c r="U140" s="44" t="str">
        <f>HYPERLINK("https://my.pitchbook.com?p=157478-77P", "View people online")</f>
        <v>View people online</v>
      </c>
    </row>
    <row r="141" spans="1:21" x14ac:dyDescent="0.3">
      <c r="A141" s="24" t="s">
        <v>1615</v>
      </c>
      <c r="B141" s="25" t="s">
        <v>1616</v>
      </c>
      <c r="C141" s="26" t="s">
        <v>1617</v>
      </c>
      <c r="D141" s="27" t="s">
        <v>1618</v>
      </c>
      <c r="E141" s="28" t="s">
        <v>742</v>
      </c>
      <c r="F141" s="29" t="s">
        <v>1619</v>
      </c>
      <c r="G141" s="30" t="s">
        <v>36</v>
      </c>
      <c r="H141" s="31">
        <v>3</v>
      </c>
      <c r="I141" s="32">
        <v>1</v>
      </c>
      <c r="J141" s="33" t="s">
        <v>36</v>
      </c>
      <c r="K141" s="34" t="s">
        <v>1620</v>
      </c>
      <c r="L141" s="35" t="s">
        <v>1621</v>
      </c>
      <c r="M141" s="36" t="s">
        <v>1622</v>
      </c>
      <c r="N141" s="37" t="s">
        <v>1623</v>
      </c>
      <c r="O141" s="38" t="s">
        <v>1623</v>
      </c>
      <c r="P141" s="39" t="s">
        <v>50</v>
      </c>
      <c r="Q141" s="40" t="s">
        <v>1624</v>
      </c>
      <c r="R141" s="41" t="s">
        <v>35</v>
      </c>
      <c r="S141" s="42" t="s">
        <v>36</v>
      </c>
      <c r="T141" s="43" t="s">
        <v>1625</v>
      </c>
      <c r="U141" s="45" t="str">
        <f>HYPERLINK("https://my.pitchbook.com?p=60080-95P", "View people online")</f>
        <v>View people online</v>
      </c>
    </row>
    <row r="142" spans="1:21" x14ac:dyDescent="0.3">
      <c r="A142" s="4" t="s">
        <v>1626</v>
      </c>
      <c r="B142" s="5" t="s">
        <v>1627</v>
      </c>
      <c r="C142" s="6" t="s">
        <v>1628</v>
      </c>
      <c r="D142" s="7" t="s">
        <v>193</v>
      </c>
      <c r="E142" s="8" t="s">
        <v>314</v>
      </c>
      <c r="F142" s="9" t="s">
        <v>1629</v>
      </c>
      <c r="G142" s="10">
        <v>1</v>
      </c>
      <c r="H142" s="11">
        <v>3</v>
      </c>
      <c r="I142" s="12" t="s">
        <v>36</v>
      </c>
      <c r="J142" s="13" t="s">
        <v>1630</v>
      </c>
      <c r="K142" s="14" t="s">
        <v>1631</v>
      </c>
      <c r="L142" s="15" t="s">
        <v>1404</v>
      </c>
      <c r="M142" s="16" t="s">
        <v>1632</v>
      </c>
      <c r="N142" s="17" t="s">
        <v>1633</v>
      </c>
      <c r="O142" s="18" t="s">
        <v>1407</v>
      </c>
      <c r="P142" s="19" t="s">
        <v>50</v>
      </c>
      <c r="Q142" s="20" t="s">
        <v>1592</v>
      </c>
      <c r="R142" s="21" t="s">
        <v>35</v>
      </c>
      <c r="S142" s="22" t="s">
        <v>36</v>
      </c>
      <c r="T142" s="23" t="s">
        <v>1634</v>
      </c>
      <c r="U142" s="44" t="str">
        <f>HYPERLINK("https://my.pitchbook.com?p=113841-01P", "View people online")</f>
        <v>View people online</v>
      </c>
    </row>
    <row r="143" spans="1:21" x14ac:dyDescent="0.3">
      <c r="A143" s="24" t="s">
        <v>1635</v>
      </c>
      <c r="B143" s="25" t="s">
        <v>1636</v>
      </c>
      <c r="C143" s="26" t="s">
        <v>1637</v>
      </c>
      <c r="D143" s="27" t="s">
        <v>654</v>
      </c>
      <c r="E143" s="28" t="s">
        <v>1108</v>
      </c>
      <c r="F143" s="29" t="s">
        <v>1638</v>
      </c>
      <c r="G143" s="30">
        <v>2</v>
      </c>
      <c r="H143" s="31">
        <v>3</v>
      </c>
      <c r="I143" s="32" t="s">
        <v>36</v>
      </c>
      <c r="J143" s="33" t="s">
        <v>1639</v>
      </c>
      <c r="K143" s="34" t="s">
        <v>1640</v>
      </c>
      <c r="L143" s="35" t="s">
        <v>397</v>
      </c>
      <c r="M143" s="36" t="s">
        <v>1641</v>
      </c>
      <c r="N143" s="37" t="s">
        <v>36</v>
      </c>
      <c r="O143" s="38" t="s">
        <v>400</v>
      </c>
      <c r="P143" s="39" t="s">
        <v>400</v>
      </c>
      <c r="Q143" s="40" t="s">
        <v>1642</v>
      </c>
      <c r="R143" s="41" t="s">
        <v>35</v>
      </c>
      <c r="S143" s="42" t="s">
        <v>36</v>
      </c>
      <c r="T143" s="43" t="s">
        <v>1643</v>
      </c>
      <c r="U143" s="45" t="str">
        <f>HYPERLINK("https://my.pitchbook.com?p=48880-63P", "View people online")</f>
        <v>View people online</v>
      </c>
    </row>
    <row r="144" spans="1:21" x14ac:dyDescent="0.3">
      <c r="A144" s="4" t="s">
        <v>1644</v>
      </c>
      <c r="B144" s="5" t="s">
        <v>1645</v>
      </c>
      <c r="C144" s="6" t="s">
        <v>55</v>
      </c>
      <c r="D144" s="7" t="s">
        <v>1646</v>
      </c>
      <c r="E144" s="8" t="s">
        <v>1302</v>
      </c>
      <c r="F144" s="9" t="s">
        <v>1647</v>
      </c>
      <c r="G144" s="10">
        <v>1</v>
      </c>
      <c r="H144" s="11">
        <v>3</v>
      </c>
      <c r="I144" s="12">
        <v>2</v>
      </c>
      <c r="J144" s="13" t="s">
        <v>1648</v>
      </c>
      <c r="K144" s="14" t="s">
        <v>1649</v>
      </c>
      <c r="L144" s="15" t="s">
        <v>1650</v>
      </c>
      <c r="M144" s="16" t="s">
        <v>1651</v>
      </c>
      <c r="N144" s="17" t="s">
        <v>1652</v>
      </c>
      <c r="O144" s="18" t="s">
        <v>1653</v>
      </c>
      <c r="P144" s="19" t="s">
        <v>50</v>
      </c>
      <c r="Q144" s="20" t="s">
        <v>1654</v>
      </c>
      <c r="R144" s="21" t="s">
        <v>35</v>
      </c>
      <c r="S144" s="22" t="s">
        <v>36</v>
      </c>
      <c r="T144" s="23" t="s">
        <v>1655</v>
      </c>
      <c r="U144" s="44" t="str">
        <f>HYPERLINK("https://my.pitchbook.com?p=103356-82P", "View people online")</f>
        <v>View people online</v>
      </c>
    </row>
    <row r="145" spans="1:21" x14ac:dyDescent="0.3">
      <c r="A145" s="24" t="s">
        <v>1656</v>
      </c>
      <c r="B145" s="25" t="s">
        <v>1657</v>
      </c>
      <c r="C145" s="26" t="s">
        <v>676</v>
      </c>
      <c r="D145" s="27" t="s">
        <v>1658</v>
      </c>
      <c r="E145" s="28" t="s">
        <v>86</v>
      </c>
      <c r="F145" s="29" t="s">
        <v>678</v>
      </c>
      <c r="G145" s="30">
        <v>2</v>
      </c>
      <c r="H145" s="31">
        <v>3</v>
      </c>
      <c r="I145" s="32" t="s">
        <v>36</v>
      </c>
      <c r="J145" s="33" t="s">
        <v>36</v>
      </c>
      <c r="K145" s="34" t="s">
        <v>1659</v>
      </c>
      <c r="L145" s="35" t="s">
        <v>679</v>
      </c>
      <c r="M145" s="36" t="s">
        <v>680</v>
      </c>
      <c r="N145" s="37" t="s">
        <v>36</v>
      </c>
      <c r="O145" s="38" t="s">
        <v>681</v>
      </c>
      <c r="P145" s="39" t="s">
        <v>682</v>
      </c>
      <c r="Q145" s="40" t="s">
        <v>683</v>
      </c>
      <c r="R145" s="41" t="s">
        <v>35</v>
      </c>
      <c r="S145" s="42" t="s">
        <v>36</v>
      </c>
      <c r="T145" s="43" t="s">
        <v>1660</v>
      </c>
      <c r="U145" s="45" t="str">
        <f>HYPERLINK("https://my.pitchbook.com?p=48047-95P", "View people online")</f>
        <v>View people online</v>
      </c>
    </row>
    <row r="146" spans="1:21" x14ac:dyDescent="0.3">
      <c r="A146" s="4" t="s">
        <v>1661</v>
      </c>
      <c r="B146" s="5" t="s">
        <v>1662</v>
      </c>
      <c r="C146" s="6" t="s">
        <v>1663</v>
      </c>
      <c r="D146" s="7" t="s">
        <v>1664</v>
      </c>
      <c r="E146" s="8" t="s">
        <v>1531</v>
      </c>
      <c r="F146" s="9" t="s">
        <v>1665</v>
      </c>
      <c r="G146" s="10">
        <v>1</v>
      </c>
      <c r="H146" s="11">
        <v>3</v>
      </c>
      <c r="I146" s="12">
        <v>1</v>
      </c>
      <c r="J146" s="13" t="s">
        <v>36</v>
      </c>
      <c r="K146" s="14" t="s">
        <v>1666</v>
      </c>
      <c r="L146" s="15" t="s">
        <v>1479</v>
      </c>
      <c r="M146" s="16" t="s">
        <v>1667</v>
      </c>
      <c r="N146" s="17" t="s">
        <v>1016</v>
      </c>
      <c r="O146" s="18" t="s">
        <v>1481</v>
      </c>
      <c r="P146" s="19" t="s">
        <v>50</v>
      </c>
      <c r="Q146" s="20" t="s">
        <v>1668</v>
      </c>
      <c r="R146" s="21" t="s">
        <v>35</v>
      </c>
      <c r="S146" s="22" t="s">
        <v>36</v>
      </c>
      <c r="T146" s="23" t="s">
        <v>1669</v>
      </c>
      <c r="U146" s="44" t="str">
        <f>HYPERLINK("https://my.pitchbook.com?p=39512-80P", "View people online")</f>
        <v>View people online</v>
      </c>
    </row>
    <row r="147" spans="1:21" x14ac:dyDescent="0.3">
      <c r="A147" s="24" t="s">
        <v>1670</v>
      </c>
      <c r="B147" s="25" t="s">
        <v>1671</v>
      </c>
      <c r="C147" s="26" t="s">
        <v>1672</v>
      </c>
      <c r="D147" s="27" t="s">
        <v>677</v>
      </c>
      <c r="E147" s="28" t="s">
        <v>1673</v>
      </c>
      <c r="F147" s="29" t="s">
        <v>1674</v>
      </c>
      <c r="G147" s="30">
        <v>3</v>
      </c>
      <c r="H147" s="31">
        <v>3</v>
      </c>
      <c r="I147" s="32" t="s">
        <v>36</v>
      </c>
      <c r="J147" s="33" t="s">
        <v>1675</v>
      </c>
      <c r="K147" s="34" t="s">
        <v>1676</v>
      </c>
      <c r="L147" s="35" t="s">
        <v>1677</v>
      </c>
      <c r="M147" s="36" t="s">
        <v>1678</v>
      </c>
      <c r="N147" s="37" t="s">
        <v>36</v>
      </c>
      <c r="O147" s="38" t="s">
        <v>1679</v>
      </c>
      <c r="P147" s="39" t="s">
        <v>1115</v>
      </c>
      <c r="Q147" s="40" t="s">
        <v>1680</v>
      </c>
      <c r="R147" s="41" t="s">
        <v>35</v>
      </c>
      <c r="S147" s="42" t="s">
        <v>1681</v>
      </c>
      <c r="T147" s="43" t="s">
        <v>1682</v>
      </c>
      <c r="U147" s="45" t="str">
        <f>HYPERLINK("https://my.pitchbook.com?p=36938-53P", "View people online")</f>
        <v>View people online</v>
      </c>
    </row>
    <row r="148" spans="1:21" x14ac:dyDescent="0.3">
      <c r="A148" s="4" t="s">
        <v>1683</v>
      </c>
      <c r="B148" s="5" t="s">
        <v>1684</v>
      </c>
      <c r="C148" s="6" t="s">
        <v>1685</v>
      </c>
      <c r="D148" s="7" t="s">
        <v>677</v>
      </c>
      <c r="E148" s="8" t="s">
        <v>1431</v>
      </c>
      <c r="F148" s="9" t="s">
        <v>1686</v>
      </c>
      <c r="G148" s="10">
        <v>1</v>
      </c>
      <c r="H148" s="11">
        <v>3</v>
      </c>
      <c r="I148" s="12" t="s">
        <v>36</v>
      </c>
      <c r="J148" s="13" t="s">
        <v>1687</v>
      </c>
      <c r="K148" s="14" t="s">
        <v>1688</v>
      </c>
      <c r="L148" s="15" t="s">
        <v>183</v>
      </c>
      <c r="M148" s="16" t="s">
        <v>1689</v>
      </c>
      <c r="N148" s="17" t="s">
        <v>36</v>
      </c>
      <c r="O148" s="18" t="s">
        <v>186</v>
      </c>
      <c r="P148" s="19" t="s">
        <v>50</v>
      </c>
      <c r="Q148" s="20" t="s">
        <v>444</v>
      </c>
      <c r="R148" s="21" t="s">
        <v>35</v>
      </c>
      <c r="S148" s="22" t="s">
        <v>36</v>
      </c>
      <c r="T148" s="23" t="s">
        <v>1690</v>
      </c>
      <c r="U148" s="44" t="str">
        <f>HYPERLINK("https://my.pitchbook.com?p=66535-12P", "View people online")</f>
        <v>View people online</v>
      </c>
    </row>
    <row r="149" spans="1:21" x14ac:dyDescent="0.3">
      <c r="A149" s="24" t="s">
        <v>1691</v>
      </c>
      <c r="B149" s="25" t="s">
        <v>1692</v>
      </c>
      <c r="C149" s="26" t="s">
        <v>1693</v>
      </c>
      <c r="D149" s="27" t="s">
        <v>677</v>
      </c>
      <c r="E149" s="28" t="s">
        <v>1108</v>
      </c>
      <c r="F149" s="29" t="s">
        <v>1694</v>
      </c>
      <c r="G149" s="30" t="s">
        <v>36</v>
      </c>
      <c r="H149" s="31">
        <v>3</v>
      </c>
      <c r="I149" s="32">
        <v>2</v>
      </c>
      <c r="J149" s="33" t="s">
        <v>1695</v>
      </c>
      <c r="K149" s="34" t="s">
        <v>1696</v>
      </c>
      <c r="L149" s="35" t="s">
        <v>210</v>
      </c>
      <c r="M149" s="36" t="s">
        <v>1697</v>
      </c>
      <c r="N149" s="37" t="s">
        <v>36</v>
      </c>
      <c r="O149" s="38" t="s">
        <v>213</v>
      </c>
      <c r="P149" s="39" t="s">
        <v>50</v>
      </c>
      <c r="Q149" s="40" t="s">
        <v>454</v>
      </c>
      <c r="R149" s="41" t="s">
        <v>35</v>
      </c>
      <c r="S149" s="42" t="s">
        <v>1698</v>
      </c>
      <c r="T149" s="43" t="s">
        <v>1699</v>
      </c>
      <c r="U149" s="45" t="str">
        <f>HYPERLINK("https://my.pitchbook.com?p=106590-25P", "View people online")</f>
        <v>View people online</v>
      </c>
    </row>
    <row r="150" spans="1:21" x14ac:dyDescent="0.3">
      <c r="A150" s="4" t="s">
        <v>1700</v>
      </c>
      <c r="B150" s="5" t="s">
        <v>1701</v>
      </c>
      <c r="C150" s="6" t="s">
        <v>1702</v>
      </c>
      <c r="D150" s="7" t="s">
        <v>1703</v>
      </c>
      <c r="E150" s="8" t="s">
        <v>179</v>
      </c>
      <c r="F150" s="9" t="s">
        <v>1704</v>
      </c>
      <c r="G150" s="10" t="s">
        <v>36</v>
      </c>
      <c r="H150" s="11">
        <v>3</v>
      </c>
      <c r="I150" s="12">
        <v>1</v>
      </c>
      <c r="J150" s="13" t="s">
        <v>36</v>
      </c>
      <c r="K150" s="14" t="s">
        <v>1705</v>
      </c>
      <c r="L150" s="15" t="s">
        <v>250</v>
      </c>
      <c r="M150" s="16" t="s">
        <v>1706</v>
      </c>
      <c r="N150" s="17" t="s">
        <v>36</v>
      </c>
      <c r="O150" s="18" t="s">
        <v>253</v>
      </c>
      <c r="P150" s="19" t="s">
        <v>50</v>
      </c>
      <c r="Q150" s="20" t="s">
        <v>1707</v>
      </c>
      <c r="R150" s="21" t="s">
        <v>35</v>
      </c>
      <c r="S150" s="22" t="s">
        <v>36</v>
      </c>
      <c r="T150" s="23" t="s">
        <v>1708</v>
      </c>
      <c r="U150" s="44" t="str">
        <f>HYPERLINK("https://my.pitchbook.com?p=126384-49P", "View people online")</f>
        <v>View people online</v>
      </c>
    </row>
    <row r="151" spans="1:21" x14ac:dyDescent="0.3">
      <c r="A151" s="24" t="s">
        <v>1709</v>
      </c>
      <c r="B151" s="25" t="s">
        <v>1710</v>
      </c>
      <c r="C151" s="26" t="s">
        <v>1711</v>
      </c>
      <c r="D151" s="27" t="s">
        <v>1712</v>
      </c>
      <c r="E151" s="28" t="s">
        <v>86</v>
      </c>
      <c r="F151" s="29" t="s">
        <v>1713</v>
      </c>
      <c r="G151" s="30" t="s">
        <v>36</v>
      </c>
      <c r="H151" s="31">
        <v>3</v>
      </c>
      <c r="I151" s="32" t="s">
        <v>36</v>
      </c>
      <c r="J151" s="33" t="s">
        <v>1714</v>
      </c>
      <c r="K151" s="34" t="s">
        <v>36</v>
      </c>
      <c r="L151" s="35" t="s">
        <v>1435</v>
      </c>
      <c r="M151" s="36" t="s">
        <v>36</v>
      </c>
      <c r="N151" s="37" t="s">
        <v>36</v>
      </c>
      <c r="O151" s="38" t="s">
        <v>1438</v>
      </c>
      <c r="P151" s="39" t="s">
        <v>501</v>
      </c>
      <c r="Q151" s="40" t="s">
        <v>36</v>
      </c>
      <c r="R151" s="41" t="s">
        <v>35</v>
      </c>
      <c r="S151" s="42" t="s">
        <v>1715</v>
      </c>
      <c r="T151" s="43" t="s">
        <v>1716</v>
      </c>
      <c r="U151" s="45" t="str">
        <f>HYPERLINK("https://my.pitchbook.com?p=80635-78P", "View people online")</f>
        <v>View people online</v>
      </c>
    </row>
    <row r="152" spans="1:21" x14ac:dyDescent="0.3">
      <c r="A152" s="4" t="s">
        <v>1717</v>
      </c>
      <c r="B152" s="5" t="s">
        <v>1718</v>
      </c>
      <c r="C152" s="6" t="s">
        <v>1719</v>
      </c>
      <c r="D152" s="7" t="s">
        <v>1720</v>
      </c>
      <c r="E152" s="8" t="s">
        <v>1721</v>
      </c>
      <c r="F152" s="9" t="s">
        <v>1722</v>
      </c>
      <c r="G152" s="10" t="s">
        <v>36</v>
      </c>
      <c r="H152" s="11">
        <v>3</v>
      </c>
      <c r="I152" s="12">
        <v>1</v>
      </c>
      <c r="J152" s="13" t="s">
        <v>36</v>
      </c>
      <c r="K152" s="14" t="s">
        <v>1723</v>
      </c>
      <c r="L152" s="15" t="s">
        <v>397</v>
      </c>
      <c r="M152" s="16" t="s">
        <v>1724</v>
      </c>
      <c r="N152" s="17" t="s">
        <v>36</v>
      </c>
      <c r="O152" s="18" t="s">
        <v>400</v>
      </c>
      <c r="P152" s="19" t="s">
        <v>400</v>
      </c>
      <c r="Q152" s="20" t="s">
        <v>1725</v>
      </c>
      <c r="R152" s="21" t="s">
        <v>35</v>
      </c>
      <c r="S152" s="22" t="s">
        <v>36</v>
      </c>
      <c r="T152" s="23" t="s">
        <v>1726</v>
      </c>
      <c r="U152" s="44" t="str">
        <f>HYPERLINK("https://my.pitchbook.com?p=72219-97P", "View people online")</f>
        <v>View people online</v>
      </c>
    </row>
    <row r="153" spans="1:21" x14ac:dyDescent="0.3">
      <c r="A153" s="24" t="s">
        <v>1727</v>
      </c>
      <c r="B153" s="25" t="s">
        <v>1728</v>
      </c>
      <c r="C153" s="26" t="s">
        <v>1729</v>
      </c>
      <c r="D153" s="27" t="s">
        <v>1730</v>
      </c>
      <c r="E153" s="28" t="s">
        <v>1731</v>
      </c>
      <c r="F153" s="29" t="s">
        <v>1732</v>
      </c>
      <c r="G153" s="30">
        <v>1</v>
      </c>
      <c r="H153" s="31">
        <v>3</v>
      </c>
      <c r="I153" s="32" t="s">
        <v>36</v>
      </c>
      <c r="J153" s="33" t="s">
        <v>1733</v>
      </c>
      <c r="K153" s="34" t="s">
        <v>1734</v>
      </c>
      <c r="L153" s="35" t="s">
        <v>1735</v>
      </c>
      <c r="M153" s="36" t="s">
        <v>1736</v>
      </c>
      <c r="N153" s="37" t="s">
        <v>1737</v>
      </c>
      <c r="O153" s="38" t="s">
        <v>1738</v>
      </c>
      <c r="P153" s="39" t="s">
        <v>544</v>
      </c>
      <c r="Q153" s="40" t="s">
        <v>1739</v>
      </c>
      <c r="R153" s="41" t="s">
        <v>35</v>
      </c>
      <c r="S153" s="42" t="s">
        <v>36</v>
      </c>
      <c r="T153" s="43" t="s">
        <v>1740</v>
      </c>
      <c r="U153" s="45" t="str">
        <f>HYPERLINK("https://my.pitchbook.com?p=47474-02P", "View people online")</f>
        <v>View people online</v>
      </c>
    </row>
    <row r="154" spans="1:21" x14ac:dyDescent="0.3">
      <c r="A154" s="4" t="s">
        <v>1741</v>
      </c>
      <c r="B154" s="5" t="s">
        <v>1742</v>
      </c>
      <c r="C154" s="6" t="s">
        <v>1743</v>
      </c>
      <c r="D154" s="7" t="s">
        <v>1002</v>
      </c>
      <c r="E154" s="8" t="s">
        <v>86</v>
      </c>
      <c r="F154" s="9" t="s">
        <v>1744</v>
      </c>
      <c r="G154" s="10" t="s">
        <v>36</v>
      </c>
      <c r="H154" s="11">
        <v>3</v>
      </c>
      <c r="I154" s="12">
        <v>1</v>
      </c>
      <c r="J154" s="13" t="s">
        <v>36</v>
      </c>
      <c r="K154" s="14" t="s">
        <v>36</v>
      </c>
      <c r="L154" s="15" t="s">
        <v>477</v>
      </c>
      <c r="M154" s="16" t="s">
        <v>1745</v>
      </c>
      <c r="N154" s="17" t="s">
        <v>36</v>
      </c>
      <c r="O154" s="18" t="s">
        <v>479</v>
      </c>
      <c r="P154" s="19" t="s">
        <v>50</v>
      </c>
      <c r="Q154" s="20" t="s">
        <v>1746</v>
      </c>
      <c r="R154" s="21" t="s">
        <v>35</v>
      </c>
      <c r="S154" s="22" t="s">
        <v>36</v>
      </c>
      <c r="T154" s="23" t="s">
        <v>1747</v>
      </c>
      <c r="U154" s="44" t="str">
        <f>HYPERLINK("https://my.pitchbook.com?p=46080-10P", "View people online")</f>
        <v>View people online</v>
      </c>
    </row>
    <row r="155" spans="1:21" x14ac:dyDescent="0.3">
      <c r="A155" s="24" t="s">
        <v>1748</v>
      </c>
      <c r="B155" s="25" t="s">
        <v>1749</v>
      </c>
      <c r="C155" s="26" t="s">
        <v>1750</v>
      </c>
      <c r="D155" s="27" t="s">
        <v>1002</v>
      </c>
      <c r="E155" s="28" t="s">
        <v>1751</v>
      </c>
      <c r="F155" s="29" t="s">
        <v>1752</v>
      </c>
      <c r="G155" s="30">
        <v>3</v>
      </c>
      <c r="H155" s="31">
        <v>3</v>
      </c>
      <c r="I155" s="32" t="s">
        <v>36</v>
      </c>
      <c r="J155" s="33" t="s">
        <v>1753</v>
      </c>
      <c r="K155" s="34" t="s">
        <v>1754</v>
      </c>
      <c r="L155" s="35" t="s">
        <v>1755</v>
      </c>
      <c r="M155" s="36" t="s">
        <v>1756</v>
      </c>
      <c r="N155" s="37" t="s">
        <v>1757</v>
      </c>
      <c r="O155" s="38" t="s">
        <v>1758</v>
      </c>
      <c r="P155" s="39" t="s">
        <v>1759</v>
      </c>
      <c r="Q155" s="40" t="s">
        <v>1760</v>
      </c>
      <c r="R155" s="41" t="s">
        <v>35</v>
      </c>
      <c r="S155" s="42" t="s">
        <v>36</v>
      </c>
      <c r="T155" s="43" t="s">
        <v>1761</v>
      </c>
      <c r="U155" s="45" t="str">
        <f>HYPERLINK("https://my.pitchbook.com?p=56426-05P", "View people online")</f>
        <v>View people online</v>
      </c>
    </row>
    <row r="156" spans="1:21" x14ac:dyDescent="0.3">
      <c r="A156" s="4" t="s">
        <v>1762</v>
      </c>
      <c r="B156" s="5" t="s">
        <v>1763</v>
      </c>
      <c r="C156" s="6" t="s">
        <v>1764</v>
      </c>
      <c r="D156" s="7" t="s">
        <v>1765</v>
      </c>
      <c r="E156" s="8" t="s">
        <v>1766</v>
      </c>
      <c r="F156" s="9" t="s">
        <v>1767</v>
      </c>
      <c r="G156" s="10" t="s">
        <v>36</v>
      </c>
      <c r="H156" s="11">
        <v>3</v>
      </c>
      <c r="I156" s="12">
        <v>1</v>
      </c>
      <c r="J156" s="13" t="s">
        <v>1768</v>
      </c>
      <c r="K156" s="14" t="s">
        <v>1769</v>
      </c>
      <c r="L156" s="15" t="s">
        <v>183</v>
      </c>
      <c r="M156" s="16" t="s">
        <v>1770</v>
      </c>
      <c r="N156" s="17" t="s">
        <v>1771</v>
      </c>
      <c r="O156" s="18" t="s">
        <v>186</v>
      </c>
      <c r="P156" s="19" t="s">
        <v>50</v>
      </c>
      <c r="Q156" s="20" t="s">
        <v>718</v>
      </c>
      <c r="R156" s="21" t="s">
        <v>35</v>
      </c>
      <c r="S156" s="22" t="s">
        <v>36</v>
      </c>
      <c r="T156" s="23" t="s">
        <v>1772</v>
      </c>
      <c r="U156" s="44" t="str">
        <f>HYPERLINK("https://my.pitchbook.com?p=71251-03P", "View people online")</f>
        <v>View people online</v>
      </c>
    </row>
    <row r="157" spans="1:21" x14ac:dyDescent="0.3">
      <c r="A157" s="24" t="s">
        <v>1773</v>
      </c>
      <c r="B157" s="25" t="s">
        <v>1774</v>
      </c>
      <c r="C157" s="26" t="s">
        <v>1775</v>
      </c>
      <c r="D157" s="27" t="s">
        <v>1776</v>
      </c>
      <c r="E157" s="28" t="s">
        <v>340</v>
      </c>
      <c r="F157" s="29" t="s">
        <v>1777</v>
      </c>
      <c r="G157" s="30">
        <v>1</v>
      </c>
      <c r="H157" s="31">
        <v>3</v>
      </c>
      <c r="I157" s="32" t="s">
        <v>36</v>
      </c>
      <c r="J157" s="33" t="s">
        <v>1778</v>
      </c>
      <c r="K157" s="34" t="s">
        <v>36</v>
      </c>
      <c r="L157" s="35" t="s">
        <v>1779</v>
      </c>
      <c r="M157" s="36" t="s">
        <v>1780</v>
      </c>
      <c r="N157" s="37" t="s">
        <v>36</v>
      </c>
      <c r="O157" s="38" t="s">
        <v>1781</v>
      </c>
      <c r="P157" s="39" t="s">
        <v>50</v>
      </c>
      <c r="Q157" s="40" t="s">
        <v>1782</v>
      </c>
      <c r="R157" s="41" t="s">
        <v>35</v>
      </c>
      <c r="S157" s="42" t="s">
        <v>36</v>
      </c>
      <c r="T157" s="43" t="s">
        <v>1783</v>
      </c>
      <c r="U157" s="45" t="str">
        <f>HYPERLINK("https://my.pitchbook.com?p=134471-80P", "View people online")</f>
        <v>View people online</v>
      </c>
    </row>
    <row r="158" spans="1:21" x14ac:dyDescent="0.3">
      <c r="A158" s="4" t="s">
        <v>1784</v>
      </c>
      <c r="B158" s="5" t="s">
        <v>1785</v>
      </c>
      <c r="C158" s="6" t="s">
        <v>1786</v>
      </c>
      <c r="D158" s="7" t="s">
        <v>1776</v>
      </c>
      <c r="E158" s="8" t="s">
        <v>898</v>
      </c>
      <c r="F158" s="9" t="s">
        <v>1787</v>
      </c>
      <c r="G158" s="10">
        <v>1</v>
      </c>
      <c r="H158" s="11">
        <v>3</v>
      </c>
      <c r="I158" s="12">
        <v>2</v>
      </c>
      <c r="J158" s="13" t="s">
        <v>1788</v>
      </c>
      <c r="K158" s="14" t="s">
        <v>1789</v>
      </c>
      <c r="L158" s="15" t="s">
        <v>1136</v>
      </c>
      <c r="M158" s="16" t="s">
        <v>1790</v>
      </c>
      <c r="N158" s="17" t="s">
        <v>705</v>
      </c>
      <c r="O158" s="18" t="s">
        <v>1139</v>
      </c>
      <c r="P158" s="19" t="s">
        <v>1140</v>
      </c>
      <c r="Q158" s="20" t="s">
        <v>1791</v>
      </c>
      <c r="R158" s="21" t="s">
        <v>35</v>
      </c>
      <c r="S158" s="22" t="s">
        <v>36</v>
      </c>
      <c r="T158" s="23" t="s">
        <v>1792</v>
      </c>
      <c r="U158" s="44" t="str">
        <f>HYPERLINK("https://my.pitchbook.com?p=61268-50P", "View people online")</f>
        <v>View people online</v>
      </c>
    </row>
    <row r="159" spans="1:21" x14ac:dyDescent="0.3">
      <c r="A159" s="24" t="s">
        <v>1793</v>
      </c>
      <c r="B159" s="25" t="s">
        <v>1794</v>
      </c>
      <c r="C159" s="26" t="s">
        <v>1795</v>
      </c>
      <c r="D159" s="27" t="s">
        <v>219</v>
      </c>
      <c r="E159" s="28" t="s">
        <v>179</v>
      </c>
      <c r="F159" s="29" t="s">
        <v>1796</v>
      </c>
      <c r="G159" s="30" t="s">
        <v>36</v>
      </c>
      <c r="H159" s="31">
        <v>3</v>
      </c>
      <c r="I159" s="32">
        <v>2</v>
      </c>
      <c r="J159" s="33" t="s">
        <v>1797</v>
      </c>
      <c r="K159" s="34" t="s">
        <v>1798</v>
      </c>
      <c r="L159" s="35" t="s">
        <v>183</v>
      </c>
      <c r="M159" s="36" t="s">
        <v>1799</v>
      </c>
      <c r="N159" s="37" t="s">
        <v>36</v>
      </c>
      <c r="O159" s="38" t="s">
        <v>186</v>
      </c>
      <c r="P159" s="39" t="s">
        <v>50</v>
      </c>
      <c r="Q159" s="40" t="s">
        <v>718</v>
      </c>
      <c r="R159" s="41" t="s">
        <v>35</v>
      </c>
      <c r="S159" s="42" t="s">
        <v>36</v>
      </c>
      <c r="T159" s="43" t="s">
        <v>1800</v>
      </c>
      <c r="U159" s="45" t="str">
        <f>HYPERLINK("https://my.pitchbook.com?p=36724-78P", "View people online")</f>
        <v>View people online</v>
      </c>
    </row>
    <row r="160" spans="1:21" x14ac:dyDescent="0.3">
      <c r="A160" s="4" t="s">
        <v>1801</v>
      </c>
      <c r="B160" s="5" t="s">
        <v>1802</v>
      </c>
      <c r="C160" s="6" t="s">
        <v>258</v>
      </c>
      <c r="D160" s="7" t="s">
        <v>1803</v>
      </c>
      <c r="E160" s="8" t="s">
        <v>380</v>
      </c>
      <c r="F160" s="9" t="s">
        <v>1804</v>
      </c>
      <c r="G160" s="10">
        <v>1</v>
      </c>
      <c r="H160" s="11">
        <v>3</v>
      </c>
      <c r="I160" s="12" t="s">
        <v>36</v>
      </c>
      <c r="J160" s="13" t="s">
        <v>1805</v>
      </c>
      <c r="K160" s="14" t="s">
        <v>1806</v>
      </c>
      <c r="L160" s="15" t="s">
        <v>1807</v>
      </c>
      <c r="M160" s="16" t="s">
        <v>1808</v>
      </c>
      <c r="N160" s="17" t="s">
        <v>1809</v>
      </c>
      <c r="O160" s="18" t="s">
        <v>1810</v>
      </c>
      <c r="P160" s="19" t="s">
        <v>50</v>
      </c>
      <c r="Q160" s="20" t="s">
        <v>1811</v>
      </c>
      <c r="R160" s="21" t="s">
        <v>35</v>
      </c>
      <c r="S160" s="22" t="s">
        <v>36</v>
      </c>
      <c r="T160" s="23" t="s">
        <v>1812</v>
      </c>
      <c r="U160" s="44" t="str">
        <f>HYPERLINK("https://my.pitchbook.com?p=47663-92P", "View people online")</f>
        <v>View people online</v>
      </c>
    </row>
    <row r="161" spans="1:21" x14ac:dyDescent="0.3">
      <c r="A161" s="24" t="s">
        <v>1813</v>
      </c>
      <c r="B161" s="25" t="s">
        <v>1814</v>
      </c>
      <c r="C161" s="26" t="s">
        <v>1815</v>
      </c>
      <c r="D161" s="27" t="s">
        <v>1816</v>
      </c>
      <c r="E161" s="28" t="s">
        <v>793</v>
      </c>
      <c r="F161" s="29" t="s">
        <v>1817</v>
      </c>
      <c r="G161" s="30" t="s">
        <v>36</v>
      </c>
      <c r="H161" s="31">
        <v>3</v>
      </c>
      <c r="I161" s="32">
        <v>1</v>
      </c>
      <c r="J161" s="33" t="s">
        <v>1818</v>
      </c>
      <c r="K161" s="34" t="s">
        <v>1819</v>
      </c>
      <c r="L161" s="35" t="s">
        <v>464</v>
      </c>
      <c r="M161" s="36" t="s">
        <v>1820</v>
      </c>
      <c r="N161" s="37" t="s">
        <v>1821</v>
      </c>
      <c r="O161" s="38" t="s">
        <v>467</v>
      </c>
      <c r="P161" s="39" t="s">
        <v>468</v>
      </c>
      <c r="Q161" s="40" t="s">
        <v>469</v>
      </c>
      <c r="R161" s="41" t="s">
        <v>35</v>
      </c>
      <c r="S161" s="42" t="s">
        <v>36</v>
      </c>
      <c r="T161" s="43" t="s">
        <v>1822</v>
      </c>
      <c r="U161" s="45" t="str">
        <f>HYPERLINK("https://my.pitchbook.com?p=68749-57P", "View people online")</f>
        <v>View people online</v>
      </c>
    </row>
    <row r="162" spans="1:21" x14ac:dyDescent="0.3">
      <c r="A162" s="4" t="s">
        <v>1823</v>
      </c>
      <c r="B162" s="5" t="s">
        <v>1824</v>
      </c>
      <c r="C162" s="6" t="s">
        <v>1825</v>
      </c>
      <c r="D162" s="7" t="s">
        <v>1826</v>
      </c>
      <c r="E162" s="8" t="s">
        <v>179</v>
      </c>
      <c r="F162" s="9" t="s">
        <v>1827</v>
      </c>
      <c r="G162" s="10">
        <v>1</v>
      </c>
      <c r="H162" s="11">
        <v>3</v>
      </c>
      <c r="I162" s="12">
        <v>1</v>
      </c>
      <c r="J162" s="13" t="s">
        <v>1828</v>
      </c>
      <c r="K162" s="14" t="s">
        <v>1829</v>
      </c>
      <c r="L162" s="15" t="s">
        <v>183</v>
      </c>
      <c r="M162" s="16" t="s">
        <v>1830</v>
      </c>
      <c r="N162" s="17" t="s">
        <v>399</v>
      </c>
      <c r="O162" s="18" t="s">
        <v>186</v>
      </c>
      <c r="P162" s="19" t="s">
        <v>50</v>
      </c>
      <c r="Q162" s="20" t="s">
        <v>625</v>
      </c>
      <c r="R162" s="21" t="s">
        <v>35</v>
      </c>
      <c r="S162" s="22" t="s">
        <v>36</v>
      </c>
      <c r="T162" s="23" t="s">
        <v>1831</v>
      </c>
      <c r="U162" s="44" t="str">
        <f>HYPERLINK("https://my.pitchbook.com?p=15791-41P", "View people online")</f>
        <v>View people online</v>
      </c>
    </row>
    <row r="163" spans="1:21" x14ac:dyDescent="0.3">
      <c r="A163" s="24" t="s">
        <v>1832</v>
      </c>
      <c r="B163" s="25" t="s">
        <v>1833</v>
      </c>
      <c r="C163" s="26" t="s">
        <v>1834</v>
      </c>
      <c r="D163" s="27" t="s">
        <v>800</v>
      </c>
      <c r="E163" s="28" t="s">
        <v>1835</v>
      </c>
      <c r="F163" s="29" t="s">
        <v>1836</v>
      </c>
      <c r="G163" s="30">
        <v>2</v>
      </c>
      <c r="H163" s="31">
        <v>3</v>
      </c>
      <c r="I163" s="32" t="s">
        <v>36</v>
      </c>
      <c r="J163" s="33" t="s">
        <v>1837</v>
      </c>
      <c r="K163" s="34" t="s">
        <v>1838</v>
      </c>
      <c r="L163" s="35" t="s">
        <v>1839</v>
      </c>
      <c r="M163" s="36" t="s">
        <v>1840</v>
      </c>
      <c r="N163" s="37" t="s">
        <v>36</v>
      </c>
      <c r="O163" s="38" t="s">
        <v>1841</v>
      </c>
      <c r="P163" s="39" t="s">
        <v>1842</v>
      </c>
      <c r="Q163" s="40" t="s">
        <v>1843</v>
      </c>
      <c r="R163" s="41" t="s">
        <v>35</v>
      </c>
      <c r="S163" s="42" t="s">
        <v>36</v>
      </c>
      <c r="T163" s="43" t="s">
        <v>1844</v>
      </c>
      <c r="U163" s="45" t="str">
        <f>HYPERLINK("https://my.pitchbook.com?p=144197-56P", "View people online")</f>
        <v>View people online</v>
      </c>
    </row>
    <row r="164" spans="1:21" x14ac:dyDescent="0.3">
      <c r="A164" s="4" t="s">
        <v>1845</v>
      </c>
      <c r="B164" s="5" t="s">
        <v>1846</v>
      </c>
      <c r="C164" s="6" t="s">
        <v>1847</v>
      </c>
      <c r="D164" s="7" t="s">
        <v>1848</v>
      </c>
      <c r="E164" s="8" t="s">
        <v>314</v>
      </c>
      <c r="F164" s="9" t="s">
        <v>1849</v>
      </c>
      <c r="G164" s="10">
        <v>3</v>
      </c>
      <c r="H164" s="11">
        <v>3</v>
      </c>
      <c r="I164" s="12" t="s">
        <v>36</v>
      </c>
      <c r="J164" s="13" t="s">
        <v>36</v>
      </c>
      <c r="K164" s="14" t="s">
        <v>1850</v>
      </c>
      <c r="L164" s="15" t="s">
        <v>1851</v>
      </c>
      <c r="M164" s="16" t="s">
        <v>1852</v>
      </c>
      <c r="N164" s="17" t="s">
        <v>36</v>
      </c>
      <c r="O164" s="18" t="s">
        <v>1853</v>
      </c>
      <c r="P164" s="19" t="s">
        <v>50</v>
      </c>
      <c r="Q164" s="20" t="s">
        <v>1854</v>
      </c>
      <c r="R164" s="21" t="s">
        <v>35</v>
      </c>
      <c r="S164" s="22" t="s">
        <v>36</v>
      </c>
      <c r="T164" s="23" t="s">
        <v>1855</v>
      </c>
      <c r="U164" s="44" t="str">
        <f>HYPERLINK("https://my.pitchbook.com?p=50218-30P", "View people online")</f>
        <v>View people online</v>
      </c>
    </row>
    <row r="165" spans="1:21" x14ac:dyDescent="0.3">
      <c r="A165" s="24" t="s">
        <v>1856</v>
      </c>
      <c r="B165" s="25" t="s">
        <v>1857</v>
      </c>
      <c r="C165" s="26" t="s">
        <v>1858</v>
      </c>
      <c r="D165" s="27" t="s">
        <v>1859</v>
      </c>
      <c r="E165" s="28" t="s">
        <v>86</v>
      </c>
      <c r="F165" s="29" t="s">
        <v>1860</v>
      </c>
      <c r="G165" s="30" t="s">
        <v>36</v>
      </c>
      <c r="H165" s="31">
        <v>3</v>
      </c>
      <c r="I165" s="32" t="s">
        <v>36</v>
      </c>
      <c r="J165" s="33" t="s">
        <v>1861</v>
      </c>
      <c r="K165" s="34" t="s">
        <v>1862</v>
      </c>
      <c r="L165" s="35" t="s">
        <v>183</v>
      </c>
      <c r="M165" s="36" t="s">
        <v>1863</v>
      </c>
      <c r="N165" s="37" t="s">
        <v>36</v>
      </c>
      <c r="O165" s="38" t="s">
        <v>186</v>
      </c>
      <c r="P165" s="39" t="s">
        <v>50</v>
      </c>
      <c r="Q165" s="40" t="s">
        <v>957</v>
      </c>
      <c r="R165" s="41" t="s">
        <v>35</v>
      </c>
      <c r="S165" s="42" t="s">
        <v>36</v>
      </c>
      <c r="T165" s="43" t="s">
        <v>1864</v>
      </c>
      <c r="U165" s="45" t="str">
        <f>HYPERLINK("https://my.pitchbook.com?p=42011-11P", "View people online")</f>
        <v>View people online</v>
      </c>
    </row>
    <row r="166" spans="1:21" x14ac:dyDescent="0.3">
      <c r="A166" s="4" t="s">
        <v>1865</v>
      </c>
      <c r="B166" s="5" t="s">
        <v>1866</v>
      </c>
      <c r="C166" s="6" t="s">
        <v>1867</v>
      </c>
      <c r="D166" s="7" t="s">
        <v>1868</v>
      </c>
      <c r="E166" s="8" t="s">
        <v>128</v>
      </c>
      <c r="F166" s="9" t="s">
        <v>1869</v>
      </c>
      <c r="G166" s="10" t="s">
        <v>36</v>
      </c>
      <c r="H166" s="11">
        <v>3</v>
      </c>
      <c r="I166" s="12">
        <v>1</v>
      </c>
      <c r="J166" s="13" t="s">
        <v>36</v>
      </c>
      <c r="K166" s="14" t="s">
        <v>1870</v>
      </c>
      <c r="L166" s="15" t="s">
        <v>1871</v>
      </c>
      <c r="M166" s="16" t="s">
        <v>1872</v>
      </c>
      <c r="N166" s="17" t="s">
        <v>36</v>
      </c>
      <c r="O166" s="18" t="s">
        <v>1873</v>
      </c>
      <c r="P166" s="19" t="s">
        <v>50</v>
      </c>
      <c r="Q166" s="20" t="s">
        <v>1874</v>
      </c>
      <c r="R166" s="21" t="s">
        <v>35</v>
      </c>
      <c r="S166" s="22" t="s">
        <v>36</v>
      </c>
      <c r="T166" s="23" t="s">
        <v>1875</v>
      </c>
      <c r="U166" s="44" t="str">
        <f>HYPERLINK("https://my.pitchbook.com?p=47736-91P", "View people online")</f>
        <v>View people online</v>
      </c>
    </row>
    <row r="167" spans="1:21" x14ac:dyDescent="0.3">
      <c r="A167" s="24" t="s">
        <v>1876</v>
      </c>
      <c r="B167" s="25" t="s">
        <v>1877</v>
      </c>
      <c r="C167" s="26" t="s">
        <v>1878</v>
      </c>
      <c r="D167" s="27" t="s">
        <v>1879</v>
      </c>
      <c r="E167" s="28" t="s">
        <v>314</v>
      </c>
      <c r="F167" s="29" t="s">
        <v>1880</v>
      </c>
      <c r="G167" s="30">
        <v>1</v>
      </c>
      <c r="H167" s="31">
        <v>3</v>
      </c>
      <c r="I167" s="32">
        <v>1</v>
      </c>
      <c r="J167" s="33" t="s">
        <v>36</v>
      </c>
      <c r="K167" s="34" t="s">
        <v>1881</v>
      </c>
      <c r="L167" s="35" t="s">
        <v>250</v>
      </c>
      <c r="M167" s="36" t="s">
        <v>1882</v>
      </c>
      <c r="N167" s="37" t="s">
        <v>1883</v>
      </c>
      <c r="O167" s="38" t="s">
        <v>253</v>
      </c>
      <c r="P167" s="39" t="s">
        <v>50</v>
      </c>
      <c r="Q167" s="40" t="s">
        <v>1884</v>
      </c>
      <c r="R167" s="41" t="s">
        <v>35</v>
      </c>
      <c r="S167" s="42" t="s">
        <v>36</v>
      </c>
      <c r="T167" s="43" t="s">
        <v>1885</v>
      </c>
      <c r="U167" s="45" t="str">
        <f>HYPERLINK("https://my.pitchbook.com?p=112927-24P", "View people online")</f>
        <v>View people online</v>
      </c>
    </row>
    <row r="168" spans="1:21" x14ac:dyDescent="0.3">
      <c r="A168" s="4" t="s">
        <v>1886</v>
      </c>
      <c r="B168" s="5" t="s">
        <v>1887</v>
      </c>
      <c r="C168" s="6" t="s">
        <v>1888</v>
      </c>
      <c r="D168" s="7" t="s">
        <v>1889</v>
      </c>
      <c r="E168" s="8" t="s">
        <v>314</v>
      </c>
      <c r="F168" s="9" t="s">
        <v>1890</v>
      </c>
      <c r="G168" s="10">
        <v>1</v>
      </c>
      <c r="H168" s="11">
        <v>3</v>
      </c>
      <c r="I168" s="12">
        <v>1</v>
      </c>
      <c r="J168" s="13" t="s">
        <v>36</v>
      </c>
      <c r="K168" s="14" t="s">
        <v>1891</v>
      </c>
      <c r="L168" s="15" t="s">
        <v>966</v>
      </c>
      <c r="M168" s="16" t="s">
        <v>1892</v>
      </c>
      <c r="N168" s="17" t="s">
        <v>36</v>
      </c>
      <c r="O168" s="18" t="s">
        <v>968</v>
      </c>
      <c r="P168" s="19" t="s">
        <v>50</v>
      </c>
      <c r="Q168" s="20" t="s">
        <v>1707</v>
      </c>
      <c r="R168" s="21" t="s">
        <v>35</v>
      </c>
      <c r="S168" s="22" t="s">
        <v>36</v>
      </c>
      <c r="T168" s="23" t="s">
        <v>1893</v>
      </c>
      <c r="U168" s="44" t="str">
        <f>HYPERLINK("https://my.pitchbook.com?p=88820-29P", "View people online")</f>
        <v>View people online</v>
      </c>
    </row>
    <row r="169" spans="1:21" x14ac:dyDescent="0.3">
      <c r="A169" s="24" t="s">
        <v>1894</v>
      </c>
      <c r="B169" s="25" t="s">
        <v>1895</v>
      </c>
      <c r="C169" s="26" t="s">
        <v>1896</v>
      </c>
      <c r="D169" s="27" t="s">
        <v>1897</v>
      </c>
      <c r="E169" s="28" t="s">
        <v>1898</v>
      </c>
      <c r="F169" s="29" t="s">
        <v>1899</v>
      </c>
      <c r="G169" s="30" t="s">
        <v>36</v>
      </c>
      <c r="H169" s="31">
        <v>3</v>
      </c>
      <c r="I169" s="32" t="s">
        <v>36</v>
      </c>
      <c r="J169" s="33" t="s">
        <v>36</v>
      </c>
      <c r="K169" s="34" t="s">
        <v>1900</v>
      </c>
      <c r="L169" s="35" t="s">
        <v>1901</v>
      </c>
      <c r="M169" s="36" t="s">
        <v>1902</v>
      </c>
      <c r="N169" s="37" t="s">
        <v>1903</v>
      </c>
      <c r="O169" s="38" t="s">
        <v>1904</v>
      </c>
      <c r="P169" s="39" t="s">
        <v>1905</v>
      </c>
      <c r="Q169" s="40" t="s">
        <v>1906</v>
      </c>
      <c r="R169" s="41" t="s">
        <v>35</v>
      </c>
      <c r="S169" s="42" t="s">
        <v>36</v>
      </c>
      <c r="T169" s="43" t="s">
        <v>1907</v>
      </c>
      <c r="U169" s="45" t="str">
        <f>HYPERLINK("https://my.pitchbook.com?p=141609-79P", "View people online")</f>
        <v>View people online</v>
      </c>
    </row>
    <row r="170" spans="1:21" x14ac:dyDescent="0.3">
      <c r="A170" s="4" t="s">
        <v>1908</v>
      </c>
      <c r="B170" s="5" t="s">
        <v>1909</v>
      </c>
      <c r="C170" s="6" t="s">
        <v>1910</v>
      </c>
      <c r="D170" s="7" t="s">
        <v>1911</v>
      </c>
      <c r="E170" s="8" t="s">
        <v>1912</v>
      </c>
      <c r="F170" s="9" t="s">
        <v>1913</v>
      </c>
      <c r="G170" s="10" t="s">
        <v>36</v>
      </c>
      <c r="H170" s="11">
        <v>3</v>
      </c>
      <c r="I170" s="12">
        <v>1</v>
      </c>
      <c r="J170" s="13" t="s">
        <v>36</v>
      </c>
      <c r="K170" s="14" t="s">
        <v>1914</v>
      </c>
      <c r="L170" s="15" t="s">
        <v>464</v>
      </c>
      <c r="M170" s="16" t="s">
        <v>1915</v>
      </c>
      <c r="N170" s="17" t="s">
        <v>1916</v>
      </c>
      <c r="O170" s="18" t="s">
        <v>467</v>
      </c>
      <c r="P170" s="19" t="s">
        <v>468</v>
      </c>
      <c r="Q170" s="20" t="s">
        <v>947</v>
      </c>
      <c r="R170" s="21" t="s">
        <v>35</v>
      </c>
      <c r="S170" s="22" t="s">
        <v>36</v>
      </c>
      <c r="T170" s="23" t="s">
        <v>1917</v>
      </c>
      <c r="U170" s="44" t="str">
        <f>HYPERLINK("https://my.pitchbook.com?p=177592-33P", "View people online")</f>
        <v>View people online</v>
      </c>
    </row>
    <row r="171" spans="1:21" x14ac:dyDescent="0.3">
      <c r="A171" s="24" t="s">
        <v>1918</v>
      </c>
      <c r="B171" s="25" t="s">
        <v>1919</v>
      </c>
      <c r="C171" s="26" t="s">
        <v>1920</v>
      </c>
      <c r="D171" s="27" t="s">
        <v>1921</v>
      </c>
      <c r="E171" s="28" t="s">
        <v>354</v>
      </c>
      <c r="F171" s="29" t="s">
        <v>1922</v>
      </c>
      <c r="G171" s="30" t="s">
        <v>36</v>
      </c>
      <c r="H171" s="31">
        <v>3</v>
      </c>
      <c r="I171" s="32">
        <v>1</v>
      </c>
      <c r="J171" s="33" t="s">
        <v>1923</v>
      </c>
      <c r="K171" s="34" t="s">
        <v>1924</v>
      </c>
      <c r="L171" s="35" t="s">
        <v>183</v>
      </c>
      <c r="M171" s="36" t="s">
        <v>1925</v>
      </c>
      <c r="N171" s="37" t="s">
        <v>1926</v>
      </c>
      <c r="O171" s="38" t="s">
        <v>186</v>
      </c>
      <c r="P171" s="39" t="s">
        <v>50</v>
      </c>
      <c r="Q171" s="40" t="s">
        <v>575</v>
      </c>
      <c r="R171" s="41" t="s">
        <v>35</v>
      </c>
      <c r="S171" s="42" t="s">
        <v>36</v>
      </c>
      <c r="T171" s="43" t="s">
        <v>1927</v>
      </c>
      <c r="U171" s="45" t="str">
        <f>HYPERLINK("https://my.pitchbook.com?p=91722-16P", "View people online")</f>
        <v>View people online</v>
      </c>
    </row>
    <row r="172" spans="1:21" x14ac:dyDescent="0.3">
      <c r="A172" s="4" t="s">
        <v>1928</v>
      </c>
      <c r="B172" s="5" t="s">
        <v>1929</v>
      </c>
      <c r="C172" s="6" t="s">
        <v>218</v>
      </c>
      <c r="D172" s="7" t="s">
        <v>731</v>
      </c>
      <c r="E172" s="8" t="s">
        <v>1751</v>
      </c>
      <c r="F172" s="9" t="s">
        <v>1930</v>
      </c>
      <c r="G172" s="10">
        <v>2</v>
      </c>
      <c r="H172" s="11">
        <v>2</v>
      </c>
      <c r="I172" s="12" t="s">
        <v>36</v>
      </c>
      <c r="J172" s="13" t="s">
        <v>36</v>
      </c>
      <c r="K172" s="14" t="s">
        <v>1931</v>
      </c>
      <c r="L172" s="15" t="s">
        <v>295</v>
      </c>
      <c r="M172" s="16" t="s">
        <v>1932</v>
      </c>
      <c r="N172" s="17" t="s">
        <v>36</v>
      </c>
      <c r="O172" s="18" t="s">
        <v>298</v>
      </c>
      <c r="P172" s="19" t="s">
        <v>50</v>
      </c>
      <c r="Q172" s="20" t="s">
        <v>1933</v>
      </c>
      <c r="R172" s="21" t="s">
        <v>35</v>
      </c>
      <c r="S172" s="22" t="s">
        <v>36</v>
      </c>
      <c r="T172" s="23" t="s">
        <v>1934</v>
      </c>
      <c r="U172" s="44" t="str">
        <f>HYPERLINK("https://my.pitchbook.com?p=58101-49P", "View people online")</f>
        <v>View people online</v>
      </c>
    </row>
    <row r="173" spans="1:21" x14ac:dyDescent="0.3">
      <c r="A173" s="24" t="s">
        <v>1935</v>
      </c>
      <c r="B173" s="25" t="s">
        <v>1936</v>
      </c>
      <c r="C173" s="26" t="s">
        <v>1937</v>
      </c>
      <c r="D173" s="27" t="s">
        <v>731</v>
      </c>
      <c r="E173" s="28" t="s">
        <v>340</v>
      </c>
      <c r="F173" s="29" t="s">
        <v>1938</v>
      </c>
      <c r="G173" s="30">
        <v>1</v>
      </c>
      <c r="H173" s="31">
        <v>2</v>
      </c>
      <c r="I173" s="32" t="s">
        <v>36</v>
      </c>
      <c r="J173" s="33" t="s">
        <v>1939</v>
      </c>
      <c r="K173" s="34" t="s">
        <v>1940</v>
      </c>
      <c r="L173" s="35" t="s">
        <v>183</v>
      </c>
      <c r="M173" s="36" t="s">
        <v>1941</v>
      </c>
      <c r="N173" s="37" t="s">
        <v>1942</v>
      </c>
      <c r="O173" s="38" t="s">
        <v>186</v>
      </c>
      <c r="P173" s="39" t="s">
        <v>50</v>
      </c>
      <c r="Q173" s="40" t="s">
        <v>625</v>
      </c>
      <c r="R173" s="41" t="s">
        <v>35</v>
      </c>
      <c r="S173" s="42" t="s">
        <v>1943</v>
      </c>
      <c r="T173" s="43" t="s">
        <v>1944</v>
      </c>
      <c r="U173" s="45" t="str">
        <f>HYPERLINK("https://my.pitchbook.com?p=98922-97P", "View people online")</f>
        <v>View people online</v>
      </c>
    </row>
    <row r="174" spans="1:21" x14ac:dyDescent="0.3">
      <c r="A174" s="4" t="s">
        <v>1945</v>
      </c>
      <c r="B174" s="5" t="s">
        <v>1946</v>
      </c>
      <c r="C174" s="6" t="s">
        <v>1947</v>
      </c>
      <c r="D174" s="7" t="s">
        <v>731</v>
      </c>
      <c r="E174" s="8" t="s">
        <v>340</v>
      </c>
      <c r="F174" s="9" t="s">
        <v>1948</v>
      </c>
      <c r="G174" s="10">
        <v>1</v>
      </c>
      <c r="H174" s="11">
        <v>2</v>
      </c>
      <c r="I174" s="12" t="s">
        <v>36</v>
      </c>
      <c r="J174" s="13" t="s">
        <v>1949</v>
      </c>
      <c r="K174" s="14" t="s">
        <v>1950</v>
      </c>
      <c r="L174" s="15" t="s">
        <v>477</v>
      </c>
      <c r="M174" s="16" t="s">
        <v>1951</v>
      </c>
      <c r="N174" s="17" t="s">
        <v>1952</v>
      </c>
      <c r="O174" s="18" t="s">
        <v>479</v>
      </c>
      <c r="P174" s="19" t="s">
        <v>50</v>
      </c>
      <c r="Q174" s="20" t="s">
        <v>1953</v>
      </c>
      <c r="R174" s="21" t="s">
        <v>35</v>
      </c>
      <c r="S174" s="22" t="s">
        <v>36</v>
      </c>
      <c r="T174" s="23" t="s">
        <v>1954</v>
      </c>
      <c r="U174" s="44" t="str">
        <f>HYPERLINK("https://my.pitchbook.com?p=133771-69P", "View people online")</f>
        <v>View people online</v>
      </c>
    </row>
    <row r="175" spans="1:21" x14ac:dyDescent="0.3">
      <c r="A175" s="24" t="s">
        <v>1955</v>
      </c>
      <c r="B175" s="25" t="s">
        <v>1956</v>
      </c>
      <c r="C175" s="26" t="s">
        <v>1957</v>
      </c>
      <c r="D175" s="27" t="s">
        <v>1958</v>
      </c>
      <c r="E175" s="28" t="s">
        <v>179</v>
      </c>
      <c r="F175" s="29" t="s">
        <v>1959</v>
      </c>
      <c r="G175" s="30" t="s">
        <v>36</v>
      </c>
      <c r="H175" s="31">
        <v>2</v>
      </c>
      <c r="I175" s="32" t="s">
        <v>36</v>
      </c>
      <c r="J175" s="33" t="s">
        <v>1960</v>
      </c>
      <c r="K175" s="34" t="s">
        <v>1961</v>
      </c>
      <c r="L175" s="35" t="s">
        <v>183</v>
      </c>
      <c r="M175" s="36" t="s">
        <v>1962</v>
      </c>
      <c r="N175" s="37" t="s">
        <v>1903</v>
      </c>
      <c r="O175" s="38" t="s">
        <v>186</v>
      </c>
      <c r="P175" s="39" t="s">
        <v>50</v>
      </c>
      <c r="Q175" s="40" t="s">
        <v>575</v>
      </c>
      <c r="R175" s="41" t="s">
        <v>35</v>
      </c>
      <c r="S175" s="42" t="s">
        <v>36</v>
      </c>
      <c r="T175" s="43" t="s">
        <v>1963</v>
      </c>
      <c r="U175" s="45" t="str">
        <f>HYPERLINK("https://my.pitchbook.com?p=48034-81P", "View people online")</f>
        <v>View people online</v>
      </c>
    </row>
    <row r="176" spans="1:21" x14ac:dyDescent="0.3">
      <c r="A176" s="4" t="s">
        <v>1964</v>
      </c>
      <c r="B176" s="5" t="s">
        <v>1965</v>
      </c>
      <c r="C176" s="6" t="s">
        <v>1966</v>
      </c>
      <c r="D176" s="7" t="s">
        <v>741</v>
      </c>
      <c r="E176" s="8" t="s">
        <v>1080</v>
      </c>
      <c r="F176" s="9" t="s">
        <v>1967</v>
      </c>
      <c r="G176" s="10">
        <v>2</v>
      </c>
      <c r="H176" s="11">
        <v>2</v>
      </c>
      <c r="I176" s="12" t="s">
        <v>36</v>
      </c>
      <c r="J176" s="13" t="s">
        <v>1968</v>
      </c>
      <c r="K176" s="14" t="s">
        <v>1969</v>
      </c>
      <c r="L176" s="15" t="s">
        <v>1970</v>
      </c>
      <c r="M176" s="16" t="s">
        <v>1971</v>
      </c>
      <c r="N176" s="17" t="s">
        <v>1972</v>
      </c>
      <c r="O176" s="18" t="s">
        <v>1973</v>
      </c>
      <c r="P176" s="19" t="s">
        <v>808</v>
      </c>
      <c r="Q176" s="20" t="s">
        <v>1974</v>
      </c>
      <c r="R176" s="21" t="s">
        <v>35</v>
      </c>
      <c r="S176" s="22" t="s">
        <v>36</v>
      </c>
      <c r="T176" s="23" t="s">
        <v>1975</v>
      </c>
      <c r="U176" s="44" t="str">
        <f>HYPERLINK("https://my.pitchbook.com?p=38957-95P", "View people online")</f>
        <v>View people online</v>
      </c>
    </row>
    <row r="177" spans="1:21" x14ac:dyDescent="0.3">
      <c r="A177" s="24" t="s">
        <v>1976</v>
      </c>
      <c r="B177" s="25" t="s">
        <v>1977</v>
      </c>
      <c r="C177" s="26" t="s">
        <v>1978</v>
      </c>
      <c r="D177" s="27" t="s">
        <v>1979</v>
      </c>
      <c r="E177" s="28" t="s">
        <v>86</v>
      </c>
      <c r="F177" s="29" t="s">
        <v>1980</v>
      </c>
      <c r="G177" s="30" t="s">
        <v>36</v>
      </c>
      <c r="H177" s="31">
        <v>2</v>
      </c>
      <c r="I177" s="32" t="s">
        <v>36</v>
      </c>
      <c r="J177" s="33" t="s">
        <v>36</v>
      </c>
      <c r="K177" s="34" t="s">
        <v>1981</v>
      </c>
      <c r="L177" s="35" t="s">
        <v>183</v>
      </c>
      <c r="M177" s="36" t="s">
        <v>1982</v>
      </c>
      <c r="N177" s="37" t="s">
        <v>36</v>
      </c>
      <c r="O177" s="38" t="s">
        <v>186</v>
      </c>
      <c r="P177" s="39" t="s">
        <v>50</v>
      </c>
      <c r="Q177" s="40" t="s">
        <v>1983</v>
      </c>
      <c r="R177" s="41" t="s">
        <v>35</v>
      </c>
      <c r="S177" s="42" t="s">
        <v>36</v>
      </c>
      <c r="T177" s="43" t="s">
        <v>1984</v>
      </c>
      <c r="U177" s="45" t="str">
        <f>HYPERLINK("https://my.pitchbook.com?p=92306-35P", "View people online")</f>
        <v>View people online</v>
      </c>
    </row>
    <row r="178" spans="1:21" x14ac:dyDescent="0.3">
      <c r="A178" s="4" t="s">
        <v>1985</v>
      </c>
      <c r="B178" s="5" t="s">
        <v>1986</v>
      </c>
      <c r="C178" s="6" t="s">
        <v>1987</v>
      </c>
      <c r="D178" s="7" t="s">
        <v>1979</v>
      </c>
      <c r="E178" s="8" t="s">
        <v>942</v>
      </c>
      <c r="F178" s="9" t="s">
        <v>1988</v>
      </c>
      <c r="G178" s="10">
        <v>1</v>
      </c>
      <c r="H178" s="11">
        <v>2</v>
      </c>
      <c r="I178" s="12" t="s">
        <v>36</v>
      </c>
      <c r="J178" s="13" t="s">
        <v>1989</v>
      </c>
      <c r="K178" s="14" t="s">
        <v>1990</v>
      </c>
      <c r="L178" s="15" t="s">
        <v>183</v>
      </c>
      <c r="M178" s="16" t="s">
        <v>1991</v>
      </c>
      <c r="N178" s="17" t="s">
        <v>36</v>
      </c>
      <c r="O178" s="18" t="s">
        <v>186</v>
      </c>
      <c r="P178" s="19" t="s">
        <v>50</v>
      </c>
      <c r="Q178" s="20" t="s">
        <v>718</v>
      </c>
      <c r="R178" s="21" t="s">
        <v>35</v>
      </c>
      <c r="S178" s="22" t="s">
        <v>1992</v>
      </c>
      <c r="T178" s="23" t="s">
        <v>1993</v>
      </c>
      <c r="U178" s="44" t="str">
        <f>HYPERLINK("https://my.pitchbook.com?p=84086-92P", "View people online")</f>
        <v>View people online</v>
      </c>
    </row>
    <row r="179" spans="1:21" x14ac:dyDescent="0.3">
      <c r="A179" s="24" t="s">
        <v>1994</v>
      </c>
      <c r="B179" s="25" t="s">
        <v>1995</v>
      </c>
      <c r="C179" s="26" t="s">
        <v>1996</v>
      </c>
      <c r="D179" s="27" t="s">
        <v>1997</v>
      </c>
      <c r="E179" s="28" t="s">
        <v>179</v>
      </c>
      <c r="F179" s="29" t="s">
        <v>1998</v>
      </c>
      <c r="G179" s="30">
        <v>1</v>
      </c>
      <c r="H179" s="31">
        <v>2</v>
      </c>
      <c r="I179" s="32" t="s">
        <v>36</v>
      </c>
      <c r="J179" s="33" t="s">
        <v>1999</v>
      </c>
      <c r="K179" s="34" t="s">
        <v>2000</v>
      </c>
      <c r="L179" s="35" t="s">
        <v>2001</v>
      </c>
      <c r="M179" s="36" t="s">
        <v>2002</v>
      </c>
      <c r="N179" s="37" t="s">
        <v>48</v>
      </c>
      <c r="O179" s="38" t="s">
        <v>544</v>
      </c>
      <c r="P179" s="39" t="s">
        <v>2003</v>
      </c>
      <c r="Q179" s="40" t="s">
        <v>2004</v>
      </c>
      <c r="R179" s="41" t="s">
        <v>35</v>
      </c>
      <c r="S179" s="42" t="s">
        <v>36</v>
      </c>
      <c r="T179" s="43" t="s">
        <v>2005</v>
      </c>
      <c r="U179" s="45" t="str">
        <f>HYPERLINK("https://my.pitchbook.com?p=86572-00P", "View people online")</f>
        <v>View people online</v>
      </c>
    </row>
    <row r="180" spans="1:21" x14ac:dyDescent="0.3">
      <c r="A180" s="4" t="s">
        <v>2006</v>
      </c>
      <c r="B180" s="5" t="s">
        <v>2007</v>
      </c>
      <c r="C180" s="6" t="s">
        <v>2008</v>
      </c>
      <c r="D180" s="7" t="s">
        <v>2009</v>
      </c>
      <c r="E180" s="8" t="s">
        <v>314</v>
      </c>
      <c r="F180" s="9" t="s">
        <v>1767</v>
      </c>
      <c r="G180" s="10">
        <v>1</v>
      </c>
      <c r="H180" s="11">
        <v>2</v>
      </c>
      <c r="I180" s="12">
        <v>1</v>
      </c>
      <c r="J180" s="13" t="s">
        <v>1768</v>
      </c>
      <c r="K180" s="14" t="s">
        <v>2010</v>
      </c>
      <c r="L180" s="15" t="s">
        <v>183</v>
      </c>
      <c r="M180" s="16" t="s">
        <v>1770</v>
      </c>
      <c r="N180" s="17" t="s">
        <v>1771</v>
      </c>
      <c r="O180" s="18" t="s">
        <v>186</v>
      </c>
      <c r="P180" s="19" t="s">
        <v>50</v>
      </c>
      <c r="Q180" s="20" t="s">
        <v>718</v>
      </c>
      <c r="R180" s="21" t="s">
        <v>35</v>
      </c>
      <c r="S180" s="22" t="s">
        <v>36</v>
      </c>
      <c r="T180" s="23" t="s">
        <v>2011</v>
      </c>
      <c r="U180" s="44" t="str">
        <f>HYPERLINK("https://my.pitchbook.com?p=123998-14P", "View people online")</f>
        <v>View people online</v>
      </c>
    </row>
    <row r="181" spans="1:21" x14ac:dyDescent="0.3">
      <c r="A181" s="24" t="s">
        <v>2012</v>
      </c>
      <c r="B181" s="25" t="s">
        <v>2013</v>
      </c>
      <c r="C181" s="26" t="s">
        <v>2014</v>
      </c>
      <c r="D181" s="27" t="s">
        <v>2015</v>
      </c>
      <c r="E181" s="28" t="s">
        <v>2016</v>
      </c>
      <c r="F181" s="29" t="s">
        <v>2017</v>
      </c>
      <c r="G181" s="30" t="s">
        <v>36</v>
      </c>
      <c r="H181" s="31">
        <v>2</v>
      </c>
      <c r="I181" s="32" t="s">
        <v>36</v>
      </c>
      <c r="J181" s="33" t="s">
        <v>36</v>
      </c>
      <c r="K181" s="34" t="s">
        <v>36</v>
      </c>
      <c r="L181" s="35" t="s">
        <v>2018</v>
      </c>
      <c r="M181" s="36" t="s">
        <v>36</v>
      </c>
      <c r="N181" s="37" t="s">
        <v>36</v>
      </c>
      <c r="O181" s="38" t="s">
        <v>2019</v>
      </c>
      <c r="P181" s="39" t="s">
        <v>36</v>
      </c>
      <c r="Q181" s="40" t="s">
        <v>36</v>
      </c>
      <c r="R181" s="41" t="s">
        <v>79</v>
      </c>
      <c r="S181" s="42" t="s">
        <v>36</v>
      </c>
      <c r="T181" s="43" t="s">
        <v>2020</v>
      </c>
      <c r="U181" s="45" t="str">
        <f>HYPERLINK("https://my.pitchbook.com?p=180938-26P", "View people online")</f>
        <v>View people online</v>
      </c>
    </row>
    <row r="182" spans="1:21" x14ac:dyDescent="0.3">
      <c r="A182" s="4" t="s">
        <v>2021</v>
      </c>
      <c r="B182" s="5" t="s">
        <v>2022</v>
      </c>
      <c r="C182" s="6" t="s">
        <v>2023</v>
      </c>
      <c r="D182" s="7" t="s">
        <v>2024</v>
      </c>
      <c r="E182" s="8" t="s">
        <v>753</v>
      </c>
      <c r="F182" s="9" t="s">
        <v>2025</v>
      </c>
      <c r="G182" s="10">
        <v>1</v>
      </c>
      <c r="H182" s="11">
        <v>2</v>
      </c>
      <c r="I182" s="12" t="s">
        <v>36</v>
      </c>
      <c r="J182" s="13" t="s">
        <v>2026</v>
      </c>
      <c r="K182" s="14" t="s">
        <v>36</v>
      </c>
      <c r="L182" s="15" t="s">
        <v>2027</v>
      </c>
      <c r="M182" s="16" t="s">
        <v>2028</v>
      </c>
      <c r="N182" s="17" t="s">
        <v>2029</v>
      </c>
      <c r="O182" s="18" t="s">
        <v>2030</v>
      </c>
      <c r="P182" s="19" t="s">
        <v>50</v>
      </c>
      <c r="Q182" s="20" t="s">
        <v>2031</v>
      </c>
      <c r="R182" s="21" t="s">
        <v>35</v>
      </c>
      <c r="S182" s="22" t="s">
        <v>2032</v>
      </c>
      <c r="T182" s="23" t="s">
        <v>2033</v>
      </c>
      <c r="U182" s="44" t="str">
        <f>HYPERLINK("https://my.pitchbook.com?p=12806-38P", "View people online")</f>
        <v>View people online</v>
      </c>
    </row>
    <row r="183" spans="1:21" x14ac:dyDescent="0.3">
      <c r="A183" s="24" t="s">
        <v>2034</v>
      </c>
      <c r="B183" s="25" t="s">
        <v>2035</v>
      </c>
      <c r="C183" s="26" t="s">
        <v>2036</v>
      </c>
      <c r="D183" s="27" t="s">
        <v>2037</v>
      </c>
      <c r="E183" s="28" t="s">
        <v>2038</v>
      </c>
      <c r="F183" s="29" t="s">
        <v>2039</v>
      </c>
      <c r="G183" s="30" t="s">
        <v>36</v>
      </c>
      <c r="H183" s="31">
        <v>2</v>
      </c>
      <c r="I183" s="32" t="s">
        <v>36</v>
      </c>
      <c r="J183" s="33" t="s">
        <v>2040</v>
      </c>
      <c r="K183" s="34" t="s">
        <v>2041</v>
      </c>
      <c r="L183" s="35" t="s">
        <v>183</v>
      </c>
      <c r="M183" s="36" t="s">
        <v>2042</v>
      </c>
      <c r="N183" s="37" t="s">
        <v>2043</v>
      </c>
      <c r="O183" s="38" t="s">
        <v>186</v>
      </c>
      <c r="P183" s="39" t="s">
        <v>50</v>
      </c>
      <c r="Q183" s="40" t="s">
        <v>2044</v>
      </c>
      <c r="R183" s="41" t="s">
        <v>35</v>
      </c>
      <c r="S183" s="42" t="s">
        <v>2045</v>
      </c>
      <c r="T183" s="43" t="s">
        <v>2046</v>
      </c>
      <c r="U183" s="45" t="str">
        <f>HYPERLINK("https://my.pitchbook.com?p=151197-22P", "View people online")</f>
        <v>View people online</v>
      </c>
    </row>
    <row r="184" spans="1:21" x14ac:dyDescent="0.3">
      <c r="A184" s="4" t="s">
        <v>2047</v>
      </c>
      <c r="B184" s="5" t="s">
        <v>2048</v>
      </c>
      <c r="C184" s="6" t="s">
        <v>2049</v>
      </c>
      <c r="D184" s="7" t="s">
        <v>2050</v>
      </c>
      <c r="E184" s="8" t="s">
        <v>1192</v>
      </c>
      <c r="F184" s="9" t="s">
        <v>2051</v>
      </c>
      <c r="G184" s="10">
        <v>1</v>
      </c>
      <c r="H184" s="11">
        <v>2</v>
      </c>
      <c r="I184" s="12" t="s">
        <v>36</v>
      </c>
      <c r="J184" s="13" t="s">
        <v>36</v>
      </c>
      <c r="K184" s="14" t="s">
        <v>36</v>
      </c>
      <c r="L184" s="15" t="s">
        <v>2052</v>
      </c>
      <c r="M184" s="16" t="s">
        <v>2053</v>
      </c>
      <c r="N184" s="17" t="s">
        <v>2054</v>
      </c>
      <c r="O184" s="18" t="s">
        <v>2055</v>
      </c>
      <c r="P184" s="19" t="s">
        <v>36</v>
      </c>
      <c r="Q184" s="20" t="s">
        <v>2056</v>
      </c>
      <c r="R184" s="21" t="s">
        <v>2055</v>
      </c>
      <c r="S184" s="22" t="s">
        <v>36</v>
      </c>
      <c r="T184" s="23" t="s">
        <v>2057</v>
      </c>
      <c r="U184" s="44" t="str">
        <f>HYPERLINK("https://my.pitchbook.com?p=55146-70P", "View people online")</f>
        <v>View people online</v>
      </c>
    </row>
    <row r="185" spans="1:21" x14ac:dyDescent="0.3">
      <c r="A185" s="24" t="s">
        <v>2058</v>
      </c>
      <c r="B185" s="25" t="s">
        <v>2059</v>
      </c>
      <c r="C185" s="26" t="s">
        <v>2060</v>
      </c>
      <c r="D185" s="27" t="s">
        <v>353</v>
      </c>
      <c r="E185" s="28" t="s">
        <v>179</v>
      </c>
      <c r="F185" s="29" t="s">
        <v>2061</v>
      </c>
      <c r="G185" s="30" t="s">
        <v>36</v>
      </c>
      <c r="H185" s="31">
        <v>2</v>
      </c>
      <c r="I185" s="32">
        <v>1</v>
      </c>
      <c r="J185" s="33" t="s">
        <v>2062</v>
      </c>
      <c r="K185" s="34" t="s">
        <v>2063</v>
      </c>
      <c r="L185" s="35" t="s">
        <v>210</v>
      </c>
      <c r="M185" s="36" t="s">
        <v>36</v>
      </c>
      <c r="N185" s="37" t="s">
        <v>36</v>
      </c>
      <c r="O185" s="38" t="s">
        <v>213</v>
      </c>
      <c r="P185" s="39" t="s">
        <v>50</v>
      </c>
      <c r="Q185" s="40" t="s">
        <v>454</v>
      </c>
      <c r="R185" s="41" t="s">
        <v>35</v>
      </c>
      <c r="S185" s="42" t="s">
        <v>36</v>
      </c>
      <c r="T185" s="43" t="s">
        <v>2064</v>
      </c>
      <c r="U185" s="45" t="str">
        <f>HYPERLINK("https://my.pitchbook.com?p=36539-11P", "View people online")</f>
        <v>View people online</v>
      </c>
    </row>
    <row r="186" spans="1:21" x14ac:dyDescent="0.3">
      <c r="A186" s="4" t="s">
        <v>2065</v>
      </c>
      <c r="B186" s="5" t="s">
        <v>2066</v>
      </c>
      <c r="C186" s="6" t="s">
        <v>2067</v>
      </c>
      <c r="D186" s="7" t="s">
        <v>2068</v>
      </c>
      <c r="E186" s="8" t="s">
        <v>2069</v>
      </c>
      <c r="F186" s="9" t="s">
        <v>2070</v>
      </c>
      <c r="G186" s="10" t="s">
        <v>36</v>
      </c>
      <c r="H186" s="11">
        <v>2</v>
      </c>
      <c r="I186" s="12" t="s">
        <v>36</v>
      </c>
      <c r="J186" s="13" t="s">
        <v>2071</v>
      </c>
      <c r="K186" s="14" t="s">
        <v>36</v>
      </c>
      <c r="L186" s="15" t="s">
        <v>2072</v>
      </c>
      <c r="M186" s="16" t="s">
        <v>2073</v>
      </c>
      <c r="N186" s="17" t="s">
        <v>36</v>
      </c>
      <c r="O186" s="18" t="s">
        <v>2074</v>
      </c>
      <c r="P186" s="19" t="s">
        <v>50</v>
      </c>
      <c r="Q186" s="20" t="s">
        <v>2075</v>
      </c>
      <c r="R186" s="21" t="s">
        <v>35</v>
      </c>
      <c r="S186" s="22" t="s">
        <v>2076</v>
      </c>
      <c r="T186" s="23" t="s">
        <v>2077</v>
      </c>
      <c r="U186" s="44" t="str">
        <f>HYPERLINK("https://my.pitchbook.com?p=158695-66P", "View people online")</f>
        <v>View people online</v>
      </c>
    </row>
    <row r="187" spans="1:21" x14ac:dyDescent="0.3">
      <c r="A187" s="24" t="s">
        <v>2078</v>
      </c>
      <c r="B187" s="25" t="s">
        <v>2079</v>
      </c>
      <c r="C187" s="26" t="s">
        <v>2080</v>
      </c>
      <c r="D187" s="27" t="s">
        <v>2081</v>
      </c>
      <c r="E187" s="28" t="s">
        <v>2082</v>
      </c>
      <c r="F187" s="29" t="s">
        <v>1767</v>
      </c>
      <c r="G187" s="30" t="s">
        <v>36</v>
      </c>
      <c r="H187" s="31">
        <v>2</v>
      </c>
      <c r="I187" s="32" t="s">
        <v>36</v>
      </c>
      <c r="J187" s="33" t="s">
        <v>1768</v>
      </c>
      <c r="K187" s="34" t="s">
        <v>2083</v>
      </c>
      <c r="L187" s="35" t="s">
        <v>183</v>
      </c>
      <c r="M187" s="36" t="s">
        <v>1770</v>
      </c>
      <c r="N187" s="37" t="s">
        <v>1771</v>
      </c>
      <c r="O187" s="38" t="s">
        <v>186</v>
      </c>
      <c r="P187" s="39" t="s">
        <v>50</v>
      </c>
      <c r="Q187" s="40" t="s">
        <v>718</v>
      </c>
      <c r="R187" s="41" t="s">
        <v>35</v>
      </c>
      <c r="S187" s="42" t="s">
        <v>36</v>
      </c>
      <c r="T187" s="43" t="s">
        <v>2084</v>
      </c>
      <c r="U187" s="45" t="str">
        <f>HYPERLINK("https://my.pitchbook.com?p=124000-84P", "View people online")</f>
        <v>View people online</v>
      </c>
    </row>
    <row r="188" spans="1:21" x14ac:dyDescent="0.3">
      <c r="A188" s="4" t="s">
        <v>2085</v>
      </c>
      <c r="B188" s="5" t="s">
        <v>2086</v>
      </c>
      <c r="C188" s="6" t="s">
        <v>2087</v>
      </c>
      <c r="D188" s="7" t="s">
        <v>2088</v>
      </c>
      <c r="E188" s="8" t="s">
        <v>314</v>
      </c>
      <c r="F188" s="9" t="s">
        <v>2089</v>
      </c>
      <c r="G188" s="10">
        <v>2</v>
      </c>
      <c r="H188" s="11">
        <v>2</v>
      </c>
      <c r="I188" s="12" t="s">
        <v>36</v>
      </c>
      <c r="J188" s="13" t="s">
        <v>2090</v>
      </c>
      <c r="K188" s="14" t="s">
        <v>2091</v>
      </c>
      <c r="L188" s="15" t="s">
        <v>2092</v>
      </c>
      <c r="M188" s="16" t="s">
        <v>2093</v>
      </c>
      <c r="N188" s="17" t="s">
        <v>903</v>
      </c>
      <c r="O188" s="18" t="s">
        <v>2094</v>
      </c>
      <c r="P188" s="19" t="s">
        <v>50</v>
      </c>
      <c r="Q188" s="20" t="s">
        <v>2095</v>
      </c>
      <c r="R188" s="21" t="s">
        <v>35</v>
      </c>
      <c r="S188" s="22" t="s">
        <v>36</v>
      </c>
      <c r="T188" s="23" t="s">
        <v>2096</v>
      </c>
      <c r="U188" s="44" t="str">
        <f>HYPERLINK("https://my.pitchbook.com?p=65588-95P", "View people online")</f>
        <v>View people online</v>
      </c>
    </row>
    <row r="189" spans="1:21" x14ac:dyDescent="0.3">
      <c r="A189" s="24" t="s">
        <v>2097</v>
      </c>
      <c r="B189" s="25" t="s">
        <v>2098</v>
      </c>
      <c r="C189" s="26" t="s">
        <v>2099</v>
      </c>
      <c r="D189" s="27" t="s">
        <v>2100</v>
      </c>
      <c r="E189" s="28" t="s">
        <v>128</v>
      </c>
      <c r="F189" s="29" t="s">
        <v>2101</v>
      </c>
      <c r="G189" s="30" t="s">
        <v>36</v>
      </c>
      <c r="H189" s="31">
        <v>2</v>
      </c>
      <c r="I189" s="32" t="s">
        <v>36</v>
      </c>
      <c r="J189" s="33" t="s">
        <v>2102</v>
      </c>
      <c r="K189" s="34" t="s">
        <v>36</v>
      </c>
      <c r="L189" s="35" t="s">
        <v>2103</v>
      </c>
      <c r="M189" s="36" t="s">
        <v>2104</v>
      </c>
      <c r="N189" s="37" t="s">
        <v>36</v>
      </c>
      <c r="O189" s="38" t="s">
        <v>2105</v>
      </c>
      <c r="P189" s="39" t="s">
        <v>1115</v>
      </c>
      <c r="Q189" s="40" t="s">
        <v>2106</v>
      </c>
      <c r="R189" s="41" t="s">
        <v>35</v>
      </c>
      <c r="S189" s="42" t="s">
        <v>36</v>
      </c>
      <c r="T189" s="43" t="s">
        <v>2107</v>
      </c>
      <c r="U189" s="45" t="str">
        <f>HYPERLINK("https://my.pitchbook.com?p=37292-59P", "View people online")</f>
        <v>View people online</v>
      </c>
    </row>
    <row r="190" spans="1:21" x14ac:dyDescent="0.3">
      <c r="A190" s="4" t="s">
        <v>2108</v>
      </c>
      <c r="B190" s="5" t="s">
        <v>2109</v>
      </c>
      <c r="C190" s="6" t="s">
        <v>2110</v>
      </c>
      <c r="D190" s="7" t="s">
        <v>2111</v>
      </c>
      <c r="E190" s="8" t="s">
        <v>2112</v>
      </c>
      <c r="F190" s="9" t="s">
        <v>2113</v>
      </c>
      <c r="G190" s="10" t="s">
        <v>36</v>
      </c>
      <c r="H190" s="11">
        <v>2</v>
      </c>
      <c r="I190" s="12" t="s">
        <v>36</v>
      </c>
      <c r="J190" s="13" t="s">
        <v>36</v>
      </c>
      <c r="K190" s="14" t="s">
        <v>2114</v>
      </c>
      <c r="L190" s="15" t="s">
        <v>2092</v>
      </c>
      <c r="M190" s="16" t="s">
        <v>2115</v>
      </c>
      <c r="N190" s="17" t="s">
        <v>36</v>
      </c>
      <c r="O190" s="18" t="s">
        <v>2094</v>
      </c>
      <c r="P190" s="19" t="s">
        <v>50</v>
      </c>
      <c r="Q190" s="20" t="s">
        <v>2116</v>
      </c>
      <c r="R190" s="21" t="s">
        <v>35</v>
      </c>
      <c r="S190" s="22" t="s">
        <v>36</v>
      </c>
      <c r="T190" s="23" t="s">
        <v>2117</v>
      </c>
      <c r="U190" s="44" t="str">
        <f>HYPERLINK("https://my.pitchbook.com?p=59803-93P", "View people online")</f>
        <v>View people online</v>
      </c>
    </row>
    <row r="191" spans="1:21" x14ac:dyDescent="0.3">
      <c r="A191" s="24" t="s">
        <v>2118</v>
      </c>
      <c r="B191" s="25" t="s">
        <v>2119</v>
      </c>
      <c r="C191" s="26" t="s">
        <v>2120</v>
      </c>
      <c r="D191" s="27" t="s">
        <v>2121</v>
      </c>
      <c r="E191" s="28" t="s">
        <v>314</v>
      </c>
      <c r="F191" s="29" t="s">
        <v>2122</v>
      </c>
      <c r="G191" s="30">
        <v>1</v>
      </c>
      <c r="H191" s="31">
        <v>2</v>
      </c>
      <c r="I191" s="32" t="s">
        <v>36</v>
      </c>
      <c r="J191" s="33" t="s">
        <v>2123</v>
      </c>
      <c r="K191" s="34" t="s">
        <v>2124</v>
      </c>
      <c r="L191" s="35" t="s">
        <v>157</v>
      </c>
      <c r="M191" s="36" t="s">
        <v>2125</v>
      </c>
      <c r="N191" s="37" t="s">
        <v>2126</v>
      </c>
      <c r="O191" s="38" t="s">
        <v>159</v>
      </c>
      <c r="P191" s="39" t="s">
        <v>50</v>
      </c>
      <c r="Q191" s="40" t="s">
        <v>160</v>
      </c>
      <c r="R191" s="41" t="s">
        <v>35</v>
      </c>
      <c r="S191" s="42" t="s">
        <v>36</v>
      </c>
      <c r="T191" s="43" t="s">
        <v>2127</v>
      </c>
      <c r="U191" s="45" t="str">
        <f>HYPERLINK("https://my.pitchbook.com?p=84149-92P", "View people online")</f>
        <v>View people online</v>
      </c>
    </row>
    <row r="192" spans="1:21" x14ac:dyDescent="0.3">
      <c r="A192" s="4" t="s">
        <v>2128</v>
      </c>
      <c r="B192" s="5" t="s">
        <v>2129</v>
      </c>
      <c r="C192" s="6" t="s">
        <v>2130</v>
      </c>
      <c r="D192" s="7" t="s">
        <v>2131</v>
      </c>
      <c r="E192" s="8" t="s">
        <v>863</v>
      </c>
      <c r="F192" s="9" t="s">
        <v>2132</v>
      </c>
      <c r="G192" s="10">
        <v>1</v>
      </c>
      <c r="H192" s="11">
        <v>2</v>
      </c>
      <c r="I192" s="12" t="s">
        <v>36</v>
      </c>
      <c r="J192" s="13" t="s">
        <v>36</v>
      </c>
      <c r="K192" s="14" t="s">
        <v>2133</v>
      </c>
      <c r="L192" s="15" t="s">
        <v>2134</v>
      </c>
      <c r="M192" s="16" t="s">
        <v>2135</v>
      </c>
      <c r="N192" s="17" t="s">
        <v>36</v>
      </c>
      <c r="O192" s="18" t="s">
        <v>2136</v>
      </c>
      <c r="P192" s="19" t="s">
        <v>50</v>
      </c>
      <c r="Q192" s="20" t="s">
        <v>2137</v>
      </c>
      <c r="R192" s="21" t="s">
        <v>35</v>
      </c>
      <c r="S192" s="22" t="s">
        <v>2138</v>
      </c>
      <c r="T192" s="23" t="s">
        <v>2139</v>
      </c>
      <c r="U192" s="44" t="str">
        <f>HYPERLINK("https://my.pitchbook.com?p=40608-28P", "View people online")</f>
        <v>View people online</v>
      </c>
    </row>
    <row r="193" spans="1:21" x14ac:dyDescent="0.3">
      <c r="A193" s="24" t="s">
        <v>2140</v>
      </c>
      <c r="B193" s="25" t="s">
        <v>2141</v>
      </c>
      <c r="C193" s="26" t="s">
        <v>2142</v>
      </c>
      <c r="D193" s="27" t="s">
        <v>2143</v>
      </c>
      <c r="E193" s="28" t="s">
        <v>2144</v>
      </c>
      <c r="F193" s="29" t="s">
        <v>2145</v>
      </c>
      <c r="G193" s="30" t="s">
        <v>36</v>
      </c>
      <c r="H193" s="31">
        <v>2</v>
      </c>
      <c r="I193" s="32">
        <v>1</v>
      </c>
      <c r="J193" s="33" t="s">
        <v>36</v>
      </c>
      <c r="K193" s="34" t="s">
        <v>36</v>
      </c>
      <c r="L193" s="35" t="s">
        <v>144</v>
      </c>
      <c r="M193" s="36" t="s">
        <v>2146</v>
      </c>
      <c r="N193" s="37" t="s">
        <v>36</v>
      </c>
      <c r="O193" s="38" t="s">
        <v>146</v>
      </c>
      <c r="P193" s="39" t="s">
        <v>50</v>
      </c>
      <c r="Q193" s="40" t="s">
        <v>147</v>
      </c>
      <c r="R193" s="41" t="s">
        <v>35</v>
      </c>
      <c r="S193" s="42" t="s">
        <v>36</v>
      </c>
      <c r="T193" s="43" t="s">
        <v>2147</v>
      </c>
      <c r="U193" s="45" t="str">
        <f>HYPERLINK("https://my.pitchbook.com?p=141608-44P", "View people online")</f>
        <v>View people online</v>
      </c>
    </row>
    <row r="194" spans="1:21" x14ac:dyDescent="0.3">
      <c r="A194" s="4" t="s">
        <v>2148</v>
      </c>
      <c r="B194" s="5" t="s">
        <v>2149</v>
      </c>
      <c r="C194" s="6" t="s">
        <v>2150</v>
      </c>
      <c r="D194" s="7" t="s">
        <v>2143</v>
      </c>
      <c r="E194" s="8" t="s">
        <v>2151</v>
      </c>
      <c r="F194" s="9" t="s">
        <v>2152</v>
      </c>
      <c r="G194" s="10">
        <v>1</v>
      </c>
      <c r="H194" s="11">
        <v>2</v>
      </c>
      <c r="I194" s="12" t="s">
        <v>36</v>
      </c>
      <c r="J194" s="13" t="s">
        <v>2153</v>
      </c>
      <c r="K194" s="14" t="s">
        <v>2154</v>
      </c>
      <c r="L194" s="15" t="s">
        <v>464</v>
      </c>
      <c r="M194" s="16" t="s">
        <v>2155</v>
      </c>
      <c r="N194" s="17" t="s">
        <v>2156</v>
      </c>
      <c r="O194" s="18" t="s">
        <v>467</v>
      </c>
      <c r="P194" s="19" t="s">
        <v>468</v>
      </c>
      <c r="Q194" s="20" t="s">
        <v>2157</v>
      </c>
      <c r="R194" s="21" t="s">
        <v>35</v>
      </c>
      <c r="S194" s="22" t="s">
        <v>36</v>
      </c>
      <c r="T194" s="23" t="s">
        <v>2158</v>
      </c>
      <c r="U194" s="44" t="str">
        <f>HYPERLINK("https://my.pitchbook.com?p=43908-76P", "View people online")</f>
        <v>View people online</v>
      </c>
    </row>
    <row r="195" spans="1:21" x14ac:dyDescent="0.3">
      <c r="A195" s="24" t="s">
        <v>2159</v>
      </c>
      <c r="B195" s="25" t="s">
        <v>2160</v>
      </c>
      <c r="C195" s="26" t="s">
        <v>2161</v>
      </c>
      <c r="D195" s="27" t="s">
        <v>2162</v>
      </c>
      <c r="E195" s="28" t="s">
        <v>2163</v>
      </c>
      <c r="F195" s="29" t="s">
        <v>2164</v>
      </c>
      <c r="G195" s="30" t="s">
        <v>36</v>
      </c>
      <c r="H195" s="31">
        <v>2</v>
      </c>
      <c r="I195" s="32" t="s">
        <v>36</v>
      </c>
      <c r="J195" s="33" t="s">
        <v>2165</v>
      </c>
      <c r="K195" s="34" t="s">
        <v>2166</v>
      </c>
      <c r="L195" s="35" t="s">
        <v>59</v>
      </c>
      <c r="M195" s="36" t="s">
        <v>2167</v>
      </c>
      <c r="N195" s="37" t="s">
        <v>529</v>
      </c>
      <c r="O195" s="38" t="s">
        <v>62</v>
      </c>
      <c r="P195" s="39" t="s">
        <v>63</v>
      </c>
      <c r="Q195" s="40" t="s">
        <v>2168</v>
      </c>
      <c r="R195" s="41" t="s">
        <v>35</v>
      </c>
      <c r="S195" s="42" t="s">
        <v>36</v>
      </c>
      <c r="T195" s="43" t="s">
        <v>2169</v>
      </c>
      <c r="U195" s="45" t="str">
        <f>HYPERLINK("https://my.pitchbook.com?p=139907-17P", "View people online")</f>
        <v>View people online</v>
      </c>
    </row>
    <row r="196" spans="1:21" x14ac:dyDescent="0.3">
      <c r="A196" s="4" t="s">
        <v>2170</v>
      </c>
      <c r="B196" s="5" t="s">
        <v>2171</v>
      </c>
      <c r="C196" s="6" t="s">
        <v>2172</v>
      </c>
      <c r="D196" s="7" t="s">
        <v>2173</v>
      </c>
      <c r="E196" s="8" t="s">
        <v>742</v>
      </c>
      <c r="F196" s="9" t="s">
        <v>2174</v>
      </c>
      <c r="G196" s="10" t="s">
        <v>36</v>
      </c>
      <c r="H196" s="11">
        <v>2</v>
      </c>
      <c r="I196" s="12">
        <v>1</v>
      </c>
      <c r="J196" s="13" t="s">
        <v>2175</v>
      </c>
      <c r="K196" s="14" t="s">
        <v>2176</v>
      </c>
      <c r="L196" s="15" t="s">
        <v>183</v>
      </c>
      <c r="M196" s="16" t="s">
        <v>766</v>
      </c>
      <c r="N196" s="17" t="s">
        <v>2177</v>
      </c>
      <c r="O196" s="18" t="s">
        <v>186</v>
      </c>
      <c r="P196" s="19" t="s">
        <v>50</v>
      </c>
      <c r="Q196" s="20" t="s">
        <v>718</v>
      </c>
      <c r="R196" s="21" t="s">
        <v>35</v>
      </c>
      <c r="S196" s="22" t="s">
        <v>2178</v>
      </c>
      <c r="T196" s="23" t="s">
        <v>2179</v>
      </c>
      <c r="U196" s="44" t="str">
        <f>HYPERLINK("https://my.pitchbook.com?p=115014-43P", "View people online")</f>
        <v>View people online</v>
      </c>
    </row>
    <row r="197" spans="1:21" x14ac:dyDescent="0.3">
      <c r="A197" s="24" t="s">
        <v>2180</v>
      </c>
      <c r="B197" s="25" t="s">
        <v>2181</v>
      </c>
      <c r="C197" s="26" t="s">
        <v>2182</v>
      </c>
      <c r="D197" s="27" t="s">
        <v>2183</v>
      </c>
      <c r="E197" s="28" t="s">
        <v>2184</v>
      </c>
      <c r="F197" s="29" t="s">
        <v>2185</v>
      </c>
      <c r="G197" s="30">
        <v>1</v>
      </c>
      <c r="H197" s="31">
        <v>2</v>
      </c>
      <c r="I197" s="32" t="s">
        <v>36</v>
      </c>
      <c r="J197" s="33" t="s">
        <v>2186</v>
      </c>
      <c r="K197" s="34" t="s">
        <v>36</v>
      </c>
      <c r="L197" s="35" t="s">
        <v>1404</v>
      </c>
      <c r="M197" s="36" t="s">
        <v>2187</v>
      </c>
      <c r="N197" s="37" t="s">
        <v>2188</v>
      </c>
      <c r="O197" s="38" t="s">
        <v>1407</v>
      </c>
      <c r="P197" s="39" t="s">
        <v>50</v>
      </c>
      <c r="Q197" s="40" t="s">
        <v>36</v>
      </c>
      <c r="R197" s="41" t="s">
        <v>35</v>
      </c>
      <c r="S197" s="42" t="s">
        <v>36</v>
      </c>
      <c r="T197" s="43" t="s">
        <v>2189</v>
      </c>
      <c r="U197" s="45" t="str">
        <f>HYPERLINK("https://my.pitchbook.com?p=128769-31P", "View people online")</f>
        <v>View people online</v>
      </c>
    </row>
    <row r="198" spans="1:21" x14ac:dyDescent="0.3">
      <c r="A198" s="4" t="s">
        <v>2190</v>
      </c>
      <c r="B198" s="5" t="s">
        <v>2191</v>
      </c>
      <c r="C198" s="6" t="s">
        <v>2192</v>
      </c>
      <c r="D198" s="7" t="s">
        <v>2193</v>
      </c>
      <c r="E198" s="8" t="s">
        <v>2194</v>
      </c>
      <c r="F198" s="9" t="s">
        <v>2195</v>
      </c>
      <c r="G198" s="10">
        <v>1</v>
      </c>
      <c r="H198" s="11">
        <v>2</v>
      </c>
      <c r="I198" s="12" t="s">
        <v>36</v>
      </c>
      <c r="J198" s="13" t="s">
        <v>2196</v>
      </c>
      <c r="K198" s="14" t="s">
        <v>2197</v>
      </c>
      <c r="L198" s="15" t="s">
        <v>144</v>
      </c>
      <c r="M198" s="16" t="s">
        <v>2198</v>
      </c>
      <c r="N198" s="17" t="s">
        <v>997</v>
      </c>
      <c r="O198" s="18" t="s">
        <v>146</v>
      </c>
      <c r="P198" s="19" t="s">
        <v>50</v>
      </c>
      <c r="Q198" s="20" t="s">
        <v>147</v>
      </c>
      <c r="R198" s="21" t="s">
        <v>35</v>
      </c>
      <c r="S198" s="22" t="s">
        <v>36</v>
      </c>
      <c r="T198" s="23" t="s">
        <v>2199</v>
      </c>
      <c r="U198" s="44" t="str">
        <f>HYPERLINK("https://my.pitchbook.com?p=145068-49P", "View people online")</f>
        <v>View people online</v>
      </c>
    </row>
    <row r="199" spans="1:21" x14ac:dyDescent="0.3">
      <c r="A199" s="24" t="s">
        <v>2200</v>
      </c>
      <c r="B199" s="25" t="s">
        <v>2201</v>
      </c>
      <c r="C199" s="26" t="s">
        <v>2202</v>
      </c>
      <c r="D199" s="27" t="s">
        <v>2203</v>
      </c>
      <c r="E199" s="28" t="s">
        <v>2204</v>
      </c>
      <c r="F199" s="29" t="s">
        <v>2205</v>
      </c>
      <c r="G199" s="30" t="s">
        <v>36</v>
      </c>
      <c r="H199" s="31">
        <v>2</v>
      </c>
      <c r="I199" s="32" t="s">
        <v>36</v>
      </c>
      <c r="J199" s="33" t="s">
        <v>36</v>
      </c>
      <c r="K199" s="34" t="s">
        <v>2206</v>
      </c>
      <c r="L199" s="35" t="s">
        <v>1112</v>
      </c>
      <c r="M199" s="36" t="s">
        <v>2207</v>
      </c>
      <c r="N199" s="37" t="s">
        <v>36</v>
      </c>
      <c r="O199" s="38" t="s">
        <v>1114</v>
      </c>
      <c r="P199" s="39" t="s">
        <v>1115</v>
      </c>
      <c r="Q199" s="40" t="s">
        <v>2208</v>
      </c>
      <c r="R199" s="41" t="s">
        <v>35</v>
      </c>
      <c r="S199" s="42" t="s">
        <v>36</v>
      </c>
      <c r="T199" s="43" t="s">
        <v>2209</v>
      </c>
      <c r="U199" s="45" t="str">
        <f>HYPERLINK("https://my.pitchbook.com?p=73930-96P", "View people online")</f>
        <v>View people online</v>
      </c>
    </row>
    <row r="200" spans="1:21" x14ac:dyDescent="0.3">
      <c r="A200" s="4" t="s">
        <v>2210</v>
      </c>
      <c r="B200" s="5" t="s">
        <v>2211</v>
      </c>
      <c r="C200" s="6" t="s">
        <v>2212</v>
      </c>
      <c r="D200" s="7" t="s">
        <v>2213</v>
      </c>
      <c r="E200" s="8" t="s">
        <v>449</v>
      </c>
      <c r="F200" s="9" t="s">
        <v>2214</v>
      </c>
      <c r="G200" s="10">
        <v>2</v>
      </c>
      <c r="H200" s="11">
        <v>2</v>
      </c>
      <c r="I200" s="12" t="s">
        <v>36</v>
      </c>
      <c r="J200" s="13" t="s">
        <v>2215</v>
      </c>
      <c r="K200" s="14" t="s">
        <v>2216</v>
      </c>
      <c r="L200" s="15" t="s">
        <v>183</v>
      </c>
      <c r="M200" s="16" t="s">
        <v>2217</v>
      </c>
      <c r="N200" s="17" t="s">
        <v>2218</v>
      </c>
      <c r="O200" s="18" t="s">
        <v>186</v>
      </c>
      <c r="P200" s="19" t="s">
        <v>50</v>
      </c>
      <c r="Q200" s="20" t="s">
        <v>266</v>
      </c>
      <c r="R200" s="21" t="s">
        <v>35</v>
      </c>
      <c r="S200" s="22" t="s">
        <v>36</v>
      </c>
      <c r="T200" s="23" t="s">
        <v>2219</v>
      </c>
      <c r="U200" s="44" t="str">
        <f>HYPERLINK("https://my.pitchbook.com?p=29213-29P", "View people online")</f>
        <v>View people online</v>
      </c>
    </row>
    <row r="201" spans="1:21" x14ac:dyDescent="0.3">
      <c r="A201" s="24" t="s">
        <v>2220</v>
      </c>
      <c r="B201" s="25" t="s">
        <v>2221</v>
      </c>
      <c r="C201" s="26" t="s">
        <v>2222</v>
      </c>
      <c r="D201" s="27" t="s">
        <v>437</v>
      </c>
      <c r="E201" s="28" t="s">
        <v>2223</v>
      </c>
      <c r="F201" s="29" t="s">
        <v>2224</v>
      </c>
      <c r="G201" s="30" t="s">
        <v>36</v>
      </c>
      <c r="H201" s="31">
        <v>2</v>
      </c>
      <c r="I201" s="32" t="s">
        <v>36</v>
      </c>
      <c r="J201" s="33" t="s">
        <v>2225</v>
      </c>
      <c r="K201" s="34" t="s">
        <v>2226</v>
      </c>
      <c r="L201" s="35" t="s">
        <v>2227</v>
      </c>
      <c r="M201" s="36" t="s">
        <v>2228</v>
      </c>
      <c r="N201" s="37" t="s">
        <v>2229</v>
      </c>
      <c r="O201" s="38" t="s">
        <v>2230</v>
      </c>
      <c r="P201" s="39" t="s">
        <v>2231</v>
      </c>
      <c r="Q201" s="40" t="s">
        <v>2232</v>
      </c>
      <c r="R201" s="41" t="s">
        <v>2233</v>
      </c>
      <c r="S201" s="42" t="s">
        <v>2234</v>
      </c>
      <c r="T201" s="43" t="s">
        <v>2235</v>
      </c>
      <c r="U201" s="45" t="str">
        <f>HYPERLINK("https://my.pitchbook.com?p=43697-44P", "View people online")</f>
        <v>View people online</v>
      </c>
    </row>
    <row r="202" spans="1:21" x14ac:dyDescent="0.3">
      <c r="A202" s="4" t="s">
        <v>2236</v>
      </c>
      <c r="B202" s="5" t="s">
        <v>2237</v>
      </c>
      <c r="C202" s="6" t="s">
        <v>2238</v>
      </c>
      <c r="D202" s="7" t="s">
        <v>2239</v>
      </c>
      <c r="E202" s="8" t="s">
        <v>2240</v>
      </c>
      <c r="F202" s="9" t="s">
        <v>2241</v>
      </c>
      <c r="G202" s="10" t="s">
        <v>36</v>
      </c>
      <c r="H202" s="11">
        <v>2</v>
      </c>
      <c r="I202" s="12">
        <v>1</v>
      </c>
      <c r="J202" s="13" t="s">
        <v>2242</v>
      </c>
      <c r="K202" s="14" t="s">
        <v>2243</v>
      </c>
      <c r="L202" s="15" t="s">
        <v>1851</v>
      </c>
      <c r="M202" s="16" t="s">
        <v>2244</v>
      </c>
      <c r="N202" s="17" t="s">
        <v>649</v>
      </c>
      <c r="O202" s="18" t="s">
        <v>1853</v>
      </c>
      <c r="P202" s="19" t="s">
        <v>50</v>
      </c>
      <c r="Q202" s="20" t="s">
        <v>1854</v>
      </c>
      <c r="R202" s="21" t="s">
        <v>35</v>
      </c>
      <c r="S202" s="22" t="s">
        <v>2245</v>
      </c>
      <c r="T202" s="23" t="s">
        <v>2246</v>
      </c>
      <c r="U202" s="44" t="str">
        <f>HYPERLINK("https://my.pitchbook.com?p=42089-86P", "View people online")</f>
        <v>View people online</v>
      </c>
    </row>
    <row r="203" spans="1:21" x14ac:dyDescent="0.3">
      <c r="A203" s="24" t="s">
        <v>2247</v>
      </c>
      <c r="B203" s="25" t="s">
        <v>2248</v>
      </c>
      <c r="C203" s="26" t="s">
        <v>2249</v>
      </c>
      <c r="D203" s="27" t="s">
        <v>2250</v>
      </c>
      <c r="E203" s="28" t="s">
        <v>2251</v>
      </c>
      <c r="F203" s="29" t="s">
        <v>2252</v>
      </c>
      <c r="G203" s="30" t="s">
        <v>36</v>
      </c>
      <c r="H203" s="31">
        <v>2</v>
      </c>
      <c r="I203" s="32" t="s">
        <v>36</v>
      </c>
      <c r="J203" s="33" t="s">
        <v>2253</v>
      </c>
      <c r="K203" s="34" t="s">
        <v>2254</v>
      </c>
      <c r="L203" s="35" t="s">
        <v>2255</v>
      </c>
      <c r="M203" s="36" t="s">
        <v>2256</v>
      </c>
      <c r="N203" s="37" t="s">
        <v>36</v>
      </c>
      <c r="O203" s="38" t="s">
        <v>2257</v>
      </c>
      <c r="P203" s="39" t="s">
        <v>36</v>
      </c>
      <c r="Q203" s="40" t="s">
        <v>2258</v>
      </c>
      <c r="R203" s="41" t="s">
        <v>2259</v>
      </c>
      <c r="S203" s="42" t="s">
        <v>36</v>
      </c>
      <c r="T203" s="43" t="s">
        <v>2260</v>
      </c>
      <c r="U203" s="45" t="str">
        <f>HYPERLINK("https://my.pitchbook.com?p=145324-99P", "View people online")</f>
        <v>View people online</v>
      </c>
    </row>
    <row r="204" spans="1:21" x14ac:dyDescent="0.3">
      <c r="A204" s="4" t="s">
        <v>2261</v>
      </c>
      <c r="B204" s="5" t="s">
        <v>2262</v>
      </c>
      <c r="C204" s="6" t="s">
        <v>2263</v>
      </c>
      <c r="D204" s="7" t="s">
        <v>2264</v>
      </c>
      <c r="E204" s="8" t="s">
        <v>2265</v>
      </c>
      <c r="F204" s="9" t="s">
        <v>2266</v>
      </c>
      <c r="G204" s="10" t="s">
        <v>36</v>
      </c>
      <c r="H204" s="11">
        <v>2</v>
      </c>
      <c r="I204" s="12" t="s">
        <v>36</v>
      </c>
      <c r="J204" s="13" t="s">
        <v>36</v>
      </c>
      <c r="K204" s="14" t="s">
        <v>36</v>
      </c>
      <c r="L204" s="15" t="s">
        <v>183</v>
      </c>
      <c r="M204" s="16" t="s">
        <v>2267</v>
      </c>
      <c r="N204" s="17" t="s">
        <v>36</v>
      </c>
      <c r="O204" s="18" t="s">
        <v>186</v>
      </c>
      <c r="P204" s="19" t="s">
        <v>50</v>
      </c>
      <c r="Q204" s="20" t="s">
        <v>444</v>
      </c>
      <c r="R204" s="21" t="s">
        <v>35</v>
      </c>
      <c r="S204" s="22" t="s">
        <v>36</v>
      </c>
      <c r="T204" s="23" t="s">
        <v>2268</v>
      </c>
      <c r="U204" s="44" t="str">
        <f>HYPERLINK("https://my.pitchbook.com?p=48721-15P", "View people online")</f>
        <v>View people online</v>
      </c>
    </row>
    <row r="205" spans="1:21" x14ac:dyDescent="0.3">
      <c r="A205" s="24" t="s">
        <v>2269</v>
      </c>
      <c r="B205" s="25" t="s">
        <v>2270</v>
      </c>
      <c r="C205" s="26" t="s">
        <v>219</v>
      </c>
      <c r="D205" s="27" t="s">
        <v>2271</v>
      </c>
      <c r="E205" s="28" t="s">
        <v>2272</v>
      </c>
      <c r="F205" s="29" t="s">
        <v>2273</v>
      </c>
      <c r="G205" s="30" t="s">
        <v>36</v>
      </c>
      <c r="H205" s="31">
        <v>2</v>
      </c>
      <c r="I205" s="32" t="s">
        <v>36</v>
      </c>
      <c r="J205" s="33" t="s">
        <v>2274</v>
      </c>
      <c r="K205" s="34" t="s">
        <v>2275</v>
      </c>
      <c r="L205" s="35" t="s">
        <v>169</v>
      </c>
      <c r="M205" s="36" t="s">
        <v>2276</v>
      </c>
      <c r="N205" s="37" t="s">
        <v>2277</v>
      </c>
      <c r="O205" s="38" t="s">
        <v>172</v>
      </c>
      <c r="P205" s="39" t="s">
        <v>50</v>
      </c>
      <c r="Q205" s="40" t="s">
        <v>173</v>
      </c>
      <c r="R205" s="41" t="s">
        <v>35</v>
      </c>
      <c r="S205" s="42" t="s">
        <v>36</v>
      </c>
      <c r="T205" s="43" t="s">
        <v>2278</v>
      </c>
      <c r="U205" s="45" t="str">
        <f>HYPERLINK("https://my.pitchbook.com?p=59832-37P", "View people online")</f>
        <v>View people online</v>
      </c>
    </row>
    <row r="206" spans="1:21" x14ac:dyDescent="0.3">
      <c r="A206" s="4" t="s">
        <v>2279</v>
      </c>
      <c r="B206" s="5" t="s">
        <v>2280</v>
      </c>
      <c r="C206" s="6" t="s">
        <v>2281</v>
      </c>
      <c r="D206" s="7" t="s">
        <v>2282</v>
      </c>
      <c r="E206" s="8" t="s">
        <v>2283</v>
      </c>
      <c r="F206" s="9" t="s">
        <v>2284</v>
      </c>
      <c r="G206" s="10" t="s">
        <v>36</v>
      </c>
      <c r="H206" s="11">
        <v>2</v>
      </c>
      <c r="I206" s="12" t="s">
        <v>36</v>
      </c>
      <c r="J206" s="13" t="s">
        <v>2285</v>
      </c>
      <c r="K206" s="14" t="s">
        <v>36</v>
      </c>
      <c r="L206" s="15" t="s">
        <v>1404</v>
      </c>
      <c r="M206" s="16" t="s">
        <v>2286</v>
      </c>
      <c r="N206" s="17" t="s">
        <v>2287</v>
      </c>
      <c r="O206" s="18" t="s">
        <v>1407</v>
      </c>
      <c r="P206" s="19" t="s">
        <v>50</v>
      </c>
      <c r="Q206" s="20" t="s">
        <v>1417</v>
      </c>
      <c r="R206" s="21" t="s">
        <v>35</v>
      </c>
      <c r="S206" s="22" t="s">
        <v>36</v>
      </c>
      <c r="T206" s="23" t="s">
        <v>2288</v>
      </c>
      <c r="U206" s="44" t="str">
        <f>HYPERLINK("https://my.pitchbook.com?p=12717-28P", "View people online")</f>
        <v>View people online</v>
      </c>
    </row>
    <row r="207" spans="1:21" x14ac:dyDescent="0.3">
      <c r="A207" s="24" t="s">
        <v>2289</v>
      </c>
      <c r="B207" s="25" t="s">
        <v>2290</v>
      </c>
      <c r="C207" s="26" t="s">
        <v>2291</v>
      </c>
      <c r="D207" s="27" t="s">
        <v>2292</v>
      </c>
      <c r="E207" s="28" t="s">
        <v>1577</v>
      </c>
      <c r="F207" s="29" t="s">
        <v>581</v>
      </c>
      <c r="G207" s="30">
        <v>1</v>
      </c>
      <c r="H207" s="31">
        <v>2</v>
      </c>
      <c r="I207" s="32">
        <v>1</v>
      </c>
      <c r="J207" s="33" t="s">
        <v>582</v>
      </c>
      <c r="K207" s="34" t="s">
        <v>2293</v>
      </c>
      <c r="L207" s="35" t="s">
        <v>157</v>
      </c>
      <c r="M207" s="36" t="s">
        <v>584</v>
      </c>
      <c r="N207" s="37" t="s">
        <v>585</v>
      </c>
      <c r="O207" s="38" t="s">
        <v>159</v>
      </c>
      <c r="P207" s="39" t="s">
        <v>50</v>
      </c>
      <c r="Q207" s="40" t="s">
        <v>586</v>
      </c>
      <c r="R207" s="41" t="s">
        <v>35</v>
      </c>
      <c r="S207" s="42" t="s">
        <v>36</v>
      </c>
      <c r="T207" s="43" t="s">
        <v>2294</v>
      </c>
      <c r="U207" s="45" t="str">
        <f>HYPERLINK("https://my.pitchbook.com?p=39834-10P", "View people online")</f>
        <v>View people online</v>
      </c>
    </row>
    <row r="208" spans="1:21" x14ac:dyDescent="0.3">
      <c r="A208" s="4" t="s">
        <v>2295</v>
      </c>
      <c r="B208" s="5" t="s">
        <v>2296</v>
      </c>
      <c r="C208" s="6" t="s">
        <v>2297</v>
      </c>
      <c r="D208" s="7" t="s">
        <v>2298</v>
      </c>
      <c r="E208" s="8" t="s">
        <v>449</v>
      </c>
      <c r="F208" s="9" t="s">
        <v>2299</v>
      </c>
      <c r="G208" s="10">
        <v>2</v>
      </c>
      <c r="H208" s="11">
        <v>2</v>
      </c>
      <c r="I208" s="12" t="s">
        <v>36</v>
      </c>
      <c r="J208" s="13" t="s">
        <v>2300</v>
      </c>
      <c r="K208" s="14" t="s">
        <v>2301</v>
      </c>
      <c r="L208" s="15" t="s">
        <v>183</v>
      </c>
      <c r="M208" s="16" t="s">
        <v>2302</v>
      </c>
      <c r="N208" s="17" t="s">
        <v>2303</v>
      </c>
      <c r="O208" s="18" t="s">
        <v>186</v>
      </c>
      <c r="P208" s="19" t="s">
        <v>50</v>
      </c>
      <c r="Q208" s="20" t="s">
        <v>718</v>
      </c>
      <c r="R208" s="21" t="s">
        <v>35</v>
      </c>
      <c r="S208" s="22" t="s">
        <v>36</v>
      </c>
      <c r="T208" s="23" t="s">
        <v>2304</v>
      </c>
      <c r="U208" s="44" t="str">
        <f>HYPERLINK("https://my.pitchbook.com?p=40489-75P", "View people online")</f>
        <v>View people online</v>
      </c>
    </row>
    <row r="209" spans="1:21" x14ac:dyDescent="0.3">
      <c r="A209" s="24" t="s">
        <v>2305</v>
      </c>
      <c r="B209" s="25" t="s">
        <v>2306</v>
      </c>
      <c r="C209" s="26" t="s">
        <v>2307</v>
      </c>
      <c r="D209" s="27" t="s">
        <v>2298</v>
      </c>
      <c r="E209" s="28" t="s">
        <v>2308</v>
      </c>
      <c r="F209" s="29" t="s">
        <v>2309</v>
      </c>
      <c r="G209" s="30">
        <v>1</v>
      </c>
      <c r="H209" s="31">
        <v>2</v>
      </c>
      <c r="I209" s="32" t="s">
        <v>36</v>
      </c>
      <c r="J209" s="33" t="s">
        <v>2310</v>
      </c>
      <c r="K209" s="34" t="s">
        <v>2311</v>
      </c>
      <c r="L209" s="35" t="s">
        <v>2312</v>
      </c>
      <c r="M209" s="36" t="s">
        <v>2313</v>
      </c>
      <c r="N209" s="37" t="s">
        <v>1821</v>
      </c>
      <c r="O209" s="38" t="s">
        <v>2314</v>
      </c>
      <c r="P209" s="39" t="s">
        <v>50</v>
      </c>
      <c r="Q209" s="40" t="s">
        <v>2315</v>
      </c>
      <c r="R209" s="41" t="s">
        <v>35</v>
      </c>
      <c r="S209" s="42" t="s">
        <v>2316</v>
      </c>
      <c r="T209" s="43" t="s">
        <v>2317</v>
      </c>
      <c r="U209" s="45" t="str">
        <f>HYPERLINK("https://my.pitchbook.com?p=129430-27P", "View people online")</f>
        <v>View people online</v>
      </c>
    </row>
    <row r="210" spans="1:21" x14ac:dyDescent="0.3">
      <c r="A210" s="4" t="s">
        <v>2318</v>
      </c>
      <c r="B210" s="5" t="s">
        <v>2319</v>
      </c>
      <c r="C210" s="6" t="s">
        <v>2320</v>
      </c>
      <c r="D210" s="7" t="s">
        <v>862</v>
      </c>
      <c r="E210" s="8" t="s">
        <v>314</v>
      </c>
      <c r="F210" s="9" t="s">
        <v>2321</v>
      </c>
      <c r="G210" s="10">
        <v>2</v>
      </c>
      <c r="H210" s="11">
        <v>2</v>
      </c>
      <c r="I210" s="12" t="s">
        <v>36</v>
      </c>
      <c r="J210" s="13" t="s">
        <v>2322</v>
      </c>
      <c r="K210" s="14" t="s">
        <v>2323</v>
      </c>
      <c r="L210" s="15" t="s">
        <v>1469</v>
      </c>
      <c r="M210" s="16" t="s">
        <v>2324</v>
      </c>
      <c r="N210" s="17" t="s">
        <v>466</v>
      </c>
      <c r="O210" s="18" t="s">
        <v>1471</v>
      </c>
      <c r="P210" s="19" t="s">
        <v>50</v>
      </c>
      <c r="Q210" s="20" t="s">
        <v>1472</v>
      </c>
      <c r="R210" s="21" t="s">
        <v>35</v>
      </c>
      <c r="S210" s="22" t="s">
        <v>36</v>
      </c>
      <c r="T210" s="23" t="s">
        <v>2325</v>
      </c>
      <c r="U210" s="44" t="str">
        <f>HYPERLINK("https://my.pitchbook.com?p=101992-87P", "View people online")</f>
        <v>View people online</v>
      </c>
    </row>
    <row r="211" spans="1:21" x14ac:dyDescent="0.3">
      <c r="A211" s="24" t="s">
        <v>2326</v>
      </c>
      <c r="B211" s="25" t="s">
        <v>2327</v>
      </c>
      <c r="C211" s="26" t="s">
        <v>2049</v>
      </c>
      <c r="D211" s="27" t="s">
        <v>862</v>
      </c>
      <c r="E211" s="28" t="s">
        <v>438</v>
      </c>
      <c r="F211" s="29" t="s">
        <v>2328</v>
      </c>
      <c r="G211" s="30" t="s">
        <v>36</v>
      </c>
      <c r="H211" s="31">
        <v>2</v>
      </c>
      <c r="I211" s="32" t="s">
        <v>36</v>
      </c>
      <c r="J211" s="33" t="s">
        <v>36</v>
      </c>
      <c r="K211" s="34" t="s">
        <v>2329</v>
      </c>
      <c r="L211" s="35" t="s">
        <v>183</v>
      </c>
      <c r="M211" s="36" t="s">
        <v>36</v>
      </c>
      <c r="N211" s="37" t="s">
        <v>36</v>
      </c>
      <c r="O211" s="38" t="s">
        <v>186</v>
      </c>
      <c r="P211" s="39" t="s">
        <v>50</v>
      </c>
      <c r="Q211" s="40" t="s">
        <v>36</v>
      </c>
      <c r="R211" s="41" t="s">
        <v>35</v>
      </c>
      <c r="S211" s="42" t="s">
        <v>36</v>
      </c>
      <c r="T211" s="43" t="s">
        <v>2330</v>
      </c>
      <c r="U211" s="45" t="str">
        <f>HYPERLINK("https://my.pitchbook.com?p=136040-23P", "View people online")</f>
        <v>View people online</v>
      </c>
    </row>
    <row r="212" spans="1:21" x14ac:dyDescent="0.3">
      <c r="A212" s="4" t="s">
        <v>2331</v>
      </c>
      <c r="B212" s="5" t="s">
        <v>2332</v>
      </c>
      <c r="C212" s="6" t="s">
        <v>2333</v>
      </c>
      <c r="D212" s="7" t="s">
        <v>1466</v>
      </c>
      <c r="E212" s="8" t="s">
        <v>2334</v>
      </c>
      <c r="F212" s="9" t="s">
        <v>2335</v>
      </c>
      <c r="G212" s="10">
        <v>1</v>
      </c>
      <c r="H212" s="11">
        <v>2</v>
      </c>
      <c r="I212" s="12" t="s">
        <v>36</v>
      </c>
      <c r="J212" s="13" t="s">
        <v>2336</v>
      </c>
      <c r="K212" s="14" t="s">
        <v>2337</v>
      </c>
      <c r="L212" s="15" t="s">
        <v>2338</v>
      </c>
      <c r="M212" s="16" t="s">
        <v>36</v>
      </c>
      <c r="N212" s="17" t="s">
        <v>36</v>
      </c>
      <c r="O212" s="18" t="s">
        <v>2339</v>
      </c>
      <c r="P212" s="19" t="s">
        <v>36</v>
      </c>
      <c r="Q212" s="20" t="s">
        <v>36</v>
      </c>
      <c r="R212" s="21" t="s">
        <v>2340</v>
      </c>
      <c r="S212" s="22" t="s">
        <v>36</v>
      </c>
      <c r="T212" s="23" t="s">
        <v>2341</v>
      </c>
      <c r="U212" s="44" t="str">
        <f>HYPERLINK("https://my.pitchbook.com?p=88584-49P", "View people online")</f>
        <v>View people online</v>
      </c>
    </row>
    <row r="213" spans="1:21" x14ac:dyDescent="0.3">
      <c r="A213" s="24" t="s">
        <v>2342</v>
      </c>
      <c r="B213" s="25" t="s">
        <v>2343</v>
      </c>
      <c r="C213" s="26" t="s">
        <v>2344</v>
      </c>
      <c r="D213" s="27" t="s">
        <v>1466</v>
      </c>
      <c r="E213" s="28" t="s">
        <v>2345</v>
      </c>
      <c r="F213" s="29" t="s">
        <v>2346</v>
      </c>
      <c r="G213" s="30" t="s">
        <v>36</v>
      </c>
      <c r="H213" s="31">
        <v>2</v>
      </c>
      <c r="I213" s="32" t="s">
        <v>36</v>
      </c>
      <c r="J213" s="33" t="s">
        <v>2347</v>
      </c>
      <c r="K213" s="34" t="s">
        <v>2348</v>
      </c>
      <c r="L213" s="35" t="s">
        <v>2349</v>
      </c>
      <c r="M213" s="36" t="s">
        <v>2350</v>
      </c>
      <c r="N213" s="37" t="s">
        <v>466</v>
      </c>
      <c r="O213" s="38" t="s">
        <v>2351</v>
      </c>
      <c r="P213" s="39" t="s">
        <v>2352</v>
      </c>
      <c r="Q213" s="40" t="s">
        <v>2353</v>
      </c>
      <c r="R213" s="41" t="s">
        <v>35</v>
      </c>
      <c r="S213" s="42" t="s">
        <v>36</v>
      </c>
      <c r="T213" s="43" t="s">
        <v>2354</v>
      </c>
      <c r="U213" s="45" t="str">
        <f>HYPERLINK("https://my.pitchbook.com?p=60713-38P", "View people online")</f>
        <v>View people online</v>
      </c>
    </row>
    <row r="214" spans="1:21" x14ac:dyDescent="0.3">
      <c r="A214" s="4" t="s">
        <v>2355</v>
      </c>
      <c r="B214" s="5" t="s">
        <v>2356</v>
      </c>
      <c r="C214" s="6" t="s">
        <v>2357</v>
      </c>
      <c r="D214" s="7" t="s">
        <v>139</v>
      </c>
      <c r="E214" s="8" t="s">
        <v>2358</v>
      </c>
      <c r="F214" s="9" t="s">
        <v>2359</v>
      </c>
      <c r="G214" s="10">
        <v>1</v>
      </c>
      <c r="H214" s="11">
        <v>2</v>
      </c>
      <c r="I214" s="12" t="s">
        <v>36</v>
      </c>
      <c r="J214" s="13" t="s">
        <v>2360</v>
      </c>
      <c r="K214" s="14" t="s">
        <v>2361</v>
      </c>
      <c r="L214" s="15" t="s">
        <v>183</v>
      </c>
      <c r="M214" s="16" t="s">
        <v>2362</v>
      </c>
      <c r="N214" s="17" t="s">
        <v>2363</v>
      </c>
      <c r="O214" s="18" t="s">
        <v>186</v>
      </c>
      <c r="P214" s="19" t="s">
        <v>50</v>
      </c>
      <c r="Q214" s="20" t="s">
        <v>575</v>
      </c>
      <c r="R214" s="21" t="s">
        <v>35</v>
      </c>
      <c r="S214" s="22" t="s">
        <v>2364</v>
      </c>
      <c r="T214" s="23" t="s">
        <v>2365</v>
      </c>
      <c r="U214" s="44" t="str">
        <f>HYPERLINK("https://my.pitchbook.com?p=43605-19P", "View people online")</f>
        <v>View people online</v>
      </c>
    </row>
    <row r="215" spans="1:21" x14ac:dyDescent="0.3">
      <c r="A215" s="24" t="s">
        <v>2366</v>
      </c>
      <c r="B215" s="25" t="s">
        <v>2367</v>
      </c>
      <c r="C215" s="26" t="s">
        <v>2368</v>
      </c>
      <c r="D215" s="27" t="s">
        <v>139</v>
      </c>
      <c r="E215" s="28" t="s">
        <v>1597</v>
      </c>
      <c r="F215" s="29" t="s">
        <v>2369</v>
      </c>
      <c r="G215" s="30">
        <v>1</v>
      </c>
      <c r="H215" s="31">
        <v>2</v>
      </c>
      <c r="I215" s="32">
        <v>1</v>
      </c>
      <c r="J215" s="33" t="s">
        <v>2370</v>
      </c>
      <c r="K215" s="34" t="s">
        <v>2371</v>
      </c>
      <c r="L215" s="35" t="s">
        <v>818</v>
      </c>
      <c r="M215" s="36" t="s">
        <v>2372</v>
      </c>
      <c r="N215" s="37" t="s">
        <v>806</v>
      </c>
      <c r="O215" s="38" t="s">
        <v>821</v>
      </c>
      <c r="P215" s="39" t="s">
        <v>50</v>
      </c>
      <c r="Q215" s="40" t="s">
        <v>850</v>
      </c>
      <c r="R215" s="41" t="s">
        <v>35</v>
      </c>
      <c r="S215" s="42" t="s">
        <v>36</v>
      </c>
      <c r="T215" s="43" t="s">
        <v>2373</v>
      </c>
      <c r="U215" s="45" t="str">
        <f>HYPERLINK("https://my.pitchbook.com?p=36515-35P", "View people online")</f>
        <v>View people online</v>
      </c>
    </row>
    <row r="216" spans="1:21" x14ac:dyDescent="0.3">
      <c r="A216" s="4" t="s">
        <v>2374</v>
      </c>
      <c r="B216" s="5" t="s">
        <v>2375</v>
      </c>
      <c r="C216" s="6" t="s">
        <v>722</v>
      </c>
      <c r="D216" s="7" t="s">
        <v>139</v>
      </c>
      <c r="E216" s="8" t="s">
        <v>2376</v>
      </c>
      <c r="F216" s="9" t="s">
        <v>2377</v>
      </c>
      <c r="G216" s="10">
        <v>2</v>
      </c>
      <c r="H216" s="11">
        <v>2</v>
      </c>
      <c r="I216" s="12" t="s">
        <v>36</v>
      </c>
      <c r="J216" s="13" t="s">
        <v>36</v>
      </c>
      <c r="K216" s="14" t="s">
        <v>2378</v>
      </c>
      <c r="L216" s="15" t="s">
        <v>224</v>
      </c>
      <c r="M216" s="16" t="s">
        <v>2379</v>
      </c>
      <c r="N216" s="17" t="s">
        <v>36</v>
      </c>
      <c r="O216" s="18" t="s">
        <v>226</v>
      </c>
      <c r="P216" s="19" t="s">
        <v>50</v>
      </c>
      <c r="Q216" s="20" t="s">
        <v>359</v>
      </c>
      <c r="R216" s="21" t="s">
        <v>35</v>
      </c>
      <c r="S216" s="22" t="s">
        <v>36</v>
      </c>
      <c r="T216" s="23" t="s">
        <v>2380</v>
      </c>
      <c r="U216" s="44" t="str">
        <f>HYPERLINK("https://my.pitchbook.com?p=112429-81P", "View people online")</f>
        <v>View people online</v>
      </c>
    </row>
    <row r="217" spans="1:21" x14ac:dyDescent="0.3">
      <c r="A217" s="24" t="s">
        <v>2381</v>
      </c>
      <c r="B217" s="25" t="s">
        <v>2382</v>
      </c>
      <c r="C217" s="26" t="s">
        <v>961</v>
      </c>
      <c r="D217" s="27" t="s">
        <v>139</v>
      </c>
      <c r="E217" s="28" t="s">
        <v>86</v>
      </c>
      <c r="F217" s="29" t="s">
        <v>2383</v>
      </c>
      <c r="G217" s="30" t="s">
        <v>36</v>
      </c>
      <c r="H217" s="31">
        <v>2</v>
      </c>
      <c r="I217" s="32" t="s">
        <v>36</v>
      </c>
      <c r="J217" s="33" t="s">
        <v>36</v>
      </c>
      <c r="K217" s="34" t="s">
        <v>2384</v>
      </c>
      <c r="L217" s="35" t="s">
        <v>1112</v>
      </c>
      <c r="M217" s="36" t="s">
        <v>36</v>
      </c>
      <c r="N217" s="37" t="s">
        <v>36</v>
      </c>
      <c r="O217" s="38" t="s">
        <v>1114</v>
      </c>
      <c r="P217" s="39" t="s">
        <v>1115</v>
      </c>
      <c r="Q217" s="40" t="s">
        <v>36</v>
      </c>
      <c r="R217" s="41" t="s">
        <v>35</v>
      </c>
      <c r="S217" s="42" t="s">
        <v>36</v>
      </c>
      <c r="T217" s="43" t="s">
        <v>2385</v>
      </c>
      <c r="U217" s="45" t="str">
        <f>HYPERLINK("https://my.pitchbook.com?p=36658-99P", "View people online")</f>
        <v>View people online</v>
      </c>
    </row>
    <row r="218" spans="1:21" x14ac:dyDescent="0.3">
      <c r="A218" s="4" t="s">
        <v>2386</v>
      </c>
      <c r="B218" s="5" t="s">
        <v>2382</v>
      </c>
      <c r="C218" s="6" t="s">
        <v>961</v>
      </c>
      <c r="D218" s="7" t="s">
        <v>139</v>
      </c>
      <c r="E218" s="8" t="s">
        <v>86</v>
      </c>
      <c r="F218" s="9" t="s">
        <v>2387</v>
      </c>
      <c r="G218" s="10" t="s">
        <v>36</v>
      </c>
      <c r="H218" s="11">
        <v>2</v>
      </c>
      <c r="I218" s="12" t="s">
        <v>36</v>
      </c>
      <c r="J218" s="13" t="s">
        <v>36</v>
      </c>
      <c r="K218" s="14" t="s">
        <v>2388</v>
      </c>
      <c r="L218" s="15" t="s">
        <v>1112</v>
      </c>
      <c r="M218" s="16" t="s">
        <v>2389</v>
      </c>
      <c r="N218" s="17" t="s">
        <v>287</v>
      </c>
      <c r="O218" s="18" t="s">
        <v>1114</v>
      </c>
      <c r="P218" s="19" t="s">
        <v>1115</v>
      </c>
      <c r="Q218" s="20" t="s">
        <v>2208</v>
      </c>
      <c r="R218" s="21" t="s">
        <v>35</v>
      </c>
      <c r="S218" s="22" t="s">
        <v>36</v>
      </c>
      <c r="T218" s="23" t="s">
        <v>2390</v>
      </c>
      <c r="U218" s="44" t="str">
        <f>HYPERLINK("https://my.pitchbook.com?p=181986-49P", "View people online")</f>
        <v>View people online</v>
      </c>
    </row>
    <row r="219" spans="1:21" x14ac:dyDescent="0.3">
      <c r="A219" s="24" t="s">
        <v>2391</v>
      </c>
      <c r="B219" s="25" t="s">
        <v>2392</v>
      </c>
      <c r="C219" s="26" t="s">
        <v>2393</v>
      </c>
      <c r="D219" s="27" t="s">
        <v>139</v>
      </c>
      <c r="E219" s="28" t="s">
        <v>1721</v>
      </c>
      <c r="F219" s="29" t="s">
        <v>2394</v>
      </c>
      <c r="G219" s="30">
        <v>2</v>
      </c>
      <c r="H219" s="31">
        <v>2</v>
      </c>
      <c r="I219" s="32" t="s">
        <v>36</v>
      </c>
      <c r="J219" s="33" t="s">
        <v>2395</v>
      </c>
      <c r="K219" s="34" t="s">
        <v>2396</v>
      </c>
      <c r="L219" s="35" t="s">
        <v>2397</v>
      </c>
      <c r="M219" s="36" t="s">
        <v>2398</v>
      </c>
      <c r="N219" s="37" t="s">
        <v>2399</v>
      </c>
      <c r="O219" s="38" t="s">
        <v>1114</v>
      </c>
      <c r="P219" s="39" t="s">
        <v>1208</v>
      </c>
      <c r="Q219" s="40" t="s">
        <v>2400</v>
      </c>
      <c r="R219" s="41" t="s">
        <v>1210</v>
      </c>
      <c r="S219" s="42" t="s">
        <v>36</v>
      </c>
      <c r="T219" s="43" t="s">
        <v>2401</v>
      </c>
      <c r="U219" s="45" t="str">
        <f>HYPERLINK("https://my.pitchbook.com?p=101198-17P", "View people online")</f>
        <v>View people online</v>
      </c>
    </row>
    <row r="220" spans="1:21" x14ac:dyDescent="0.3">
      <c r="A220" s="4" t="s">
        <v>2402</v>
      </c>
      <c r="B220" s="5" t="s">
        <v>2403</v>
      </c>
      <c r="C220" s="6" t="s">
        <v>2404</v>
      </c>
      <c r="D220" s="7" t="s">
        <v>2405</v>
      </c>
      <c r="E220" s="8" t="s">
        <v>179</v>
      </c>
      <c r="F220" s="9" t="s">
        <v>2406</v>
      </c>
      <c r="G220" s="10" t="s">
        <v>36</v>
      </c>
      <c r="H220" s="11">
        <v>2</v>
      </c>
      <c r="I220" s="12" t="s">
        <v>36</v>
      </c>
      <c r="J220" s="13" t="s">
        <v>2407</v>
      </c>
      <c r="K220" s="14" t="s">
        <v>36</v>
      </c>
      <c r="L220" s="15" t="s">
        <v>477</v>
      </c>
      <c r="M220" s="16" t="s">
        <v>2408</v>
      </c>
      <c r="N220" s="17" t="s">
        <v>171</v>
      </c>
      <c r="O220" s="18" t="s">
        <v>479</v>
      </c>
      <c r="P220" s="19" t="s">
        <v>50</v>
      </c>
      <c r="Q220" s="20" t="s">
        <v>2409</v>
      </c>
      <c r="R220" s="21" t="s">
        <v>35</v>
      </c>
      <c r="S220" s="22" t="s">
        <v>36</v>
      </c>
      <c r="T220" s="23" t="s">
        <v>2410</v>
      </c>
      <c r="U220" s="44" t="str">
        <f>HYPERLINK("https://my.pitchbook.com?p=69212-53P", "View people online")</f>
        <v>View people online</v>
      </c>
    </row>
    <row r="221" spans="1:21" x14ac:dyDescent="0.3">
      <c r="A221" s="24" t="s">
        <v>2411</v>
      </c>
      <c r="B221" s="25" t="s">
        <v>2412</v>
      </c>
      <c r="C221" s="26" t="s">
        <v>2413</v>
      </c>
      <c r="D221" s="27" t="s">
        <v>2414</v>
      </c>
      <c r="E221" s="28" t="s">
        <v>2415</v>
      </c>
      <c r="F221" s="29" t="s">
        <v>2416</v>
      </c>
      <c r="G221" s="30" t="s">
        <v>36</v>
      </c>
      <c r="H221" s="31">
        <v>2</v>
      </c>
      <c r="I221" s="32" t="s">
        <v>36</v>
      </c>
      <c r="J221" s="33" t="s">
        <v>2417</v>
      </c>
      <c r="K221" s="34" t="s">
        <v>2418</v>
      </c>
      <c r="L221" s="35" t="s">
        <v>464</v>
      </c>
      <c r="M221" s="36" t="s">
        <v>2419</v>
      </c>
      <c r="N221" s="37" t="s">
        <v>36</v>
      </c>
      <c r="O221" s="38" t="s">
        <v>467</v>
      </c>
      <c r="P221" s="39" t="s">
        <v>468</v>
      </c>
      <c r="Q221" s="40" t="s">
        <v>2420</v>
      </c>
      <c r="R221" s="41" t="s">
        <v>35</v>
      </c>
      <c r="S221" s="42" t="s">
        <v>36</v>
      </c>
      <c r="T221" s="43" t="s">
        <v>2421</v>
      </c>
      <c r="U221" s="45" t="str">
        <f>HYPERLINK("https://my.pitchbook.com?p=52894-90P", "View people online")</f>
        <v>View people online</v>
      </c>
    </row>
    <row r="222" spans="1:21" x14ac:dyDescent="0.3">
      <c r="A222" s="4" t="s">
        <v>2422</v>
      </c>
      <c r="B222" s="5" t="s">
        <v>2423</v>
      </c>
      <c r="C222" s="6" t="s">
        <v>2424</v>
      </c>
      <c r="D222" s="7" t="s">
        <v>2425</v>
      </c>
      <c r="E222" s="8" t="s">
        <v>2426</v>
      </c>
      <c r="F222" s="9" t="s">
        <v>2427</v>
      </c>
      <c r="G222" s="10" t="s">
        <v>36</v>
      </c>
      <c r="H222" s="11">
        <v>2</v>
      </c>
      <c r="I222" s="12" t="s">
        <v>36</v>
      </c>
      <c r="J222" s="13" t="s">
        <v>2428</v>
      </c>
      <c r="K222" s="14" t="s">
        <v>2429</v>
      </c>
      <c r="L222" s="15" t="s">
        <v>477</v>
      </c>
      <c r="M222" s="16" t="s">
        <v>2430</v>
      </c>
      <c r="N222" s="17" t="s">
        <v>36</v>
      </c>
      <c r="O222" s="18" t="s">
        <v>479</v>
      </c>
      <c r="P222" s="19" t="s">
        <v>50</v>
      </c>
      <c r="Q222" s="20" t="s">
        <v>480</v>
      </c>
      <c r="R222" s="21" t="s">
        <v>35</v>
      </c>
      <c r="S222" s="22" t="s">
        <v>36</v>
      </c>
      <c r="T222" s="23" t="s">
        <v>2431</v>
      </c>
      <c r="U222" s="44" t="str">
        <f>HYPERLINK("https://my.pitchbook.com?p=36310-69P", "View people online")</f>
        <v>View people online</v>
      </c>
    </row>
    <row r="223" spans="1:21" x14ac:dyDescent="0.3">
      <c r="A223" s="24" t="s">
        <v>2432</v>
      </c>
      <c r="B223" s="25" t="s">
        <v>2433</v>
      </c>
      <c r="C223" s="26" t="s">
        <v>2434</v>
      </c>
      <c r="D223" s="27" t="s">
        <v>2425</v>
      </c>
      <c r="E223" s="28" t="s">
        <v>86</v>
      </c>
      <c r="F223" s="29" t="s">
        <v>2435</v>
      </c>
      <c r="G223" s="30" t="s">
        <v>36</v>
      </c>
      <c r="H223" s="31">
        <v>2</v>
      </c>
      <c r="I223" s="32" t="s">
        <v>36</v>
      </c>
      <c r="J223" s="33" t="s">
        <v>2436</v>
      </c>
      <c r="K223" s="34" t="s">
        <v>2437</v>
      </c>
      <c r="L223" s="35" t="s">
        <v>464</v>
      </c>
      <c r="M223" s="36" t="s">
        <v>2438</v>
      </c>
      <c r="N223" s="37" t="s">
        <v>2439</v>
      </c>
      <c r="O223" s="38" t="s">
        <v>467</v>
      </c>
      <c r="P223" s="39" t="s">
        <v>468</v>
      </c>
      <c r="Q223" s="40" t="s">
        <v>2440</v>
      </c>
      <c r="R223" s="41" t="s">
        <v>35</v>
      </c>
      <c r="S223" s="42" t="s">
        <v>2441</v>
      </c>
      <c r="T223" s="43" t="s">
        <v>2442</v>
      </c>
      <c r="U223" s="45" t="str">
        <f>HYPERLINK("https://my.pitchbook.com?p=35359-84P", "View people online")</f>
        <v>View people online</v>
      </c>
    </row>
    <row r="224" spans="1:21" x14ac:dyDescent="0.3">
      <c r="A224" s="4" t="s">
        <v>2443</v>
      </c>
      <c r="B224" s="5" t="s">
        <v>2444</v>
      </c>
      <c r="C224" s="6" t="s">
        <v>2445</v>
      </c>
      <c r="D224" s="7" t="s">
        <v>2425</v>
      </c>
      <c r="E224" s="8" t="s">
        <v>2446</v>
      </c>
      <c r="F224" s="9" t="s">
        <v>2447</v>
      </c>
      <c r="G224" s="10" t="s">
        <v>36</v>
      </c>
      <c r="H224" s="11">
        <v>2</v>
      </c>
      <c r="I224" s="12" t="s">
        <v>36</v>
      </c>
      <c r="J224" s="13" t="s">
        <v>36</v>
      </c>
      <c r="K224" s="14" t="s">
        <v>2448</v>
      </c>
      <c r="L224" s="15" t="s">
        <v>224</v>
      </c>
      <c r="M224" s="16" t="s">
        <v>2449</v>
      </c>
      <c r="N224" s="17" t="s">
        <v>36</v>
      </c>
      <c r="O224" s="18" t="s">
        <v>226</v>
      </c>
      <c r="P224" s="19" t="s">
        <v>50</v>
      </c>
      <c r="Q224" s="20" t="s">
        <v>776</v>
      </c>
      <c r="R224" s="21" t="s">
        <v>35</v>
      </c>
      <c r="S224" s="22" t="s">
        <v>36</v>
      </c>
      <c r="T224" s="23" t="s">
        <v>2450</v>
      </c>
      <c r="U224" s="44" t="str">
        <f>HYPERLINK("https://my.pitchbook.com?p=72196-12P", "View people online")</f>
        <v>View people online</v>
      </c>
    </row>
    <row r="225" spans="1:21" x14ac:dyDescent="0.3">
      <c r="A225" s="24" t="s">
        <v>2451</v>
      </c>
      <c r="B225" s="25" t="s">
        <v>2452</v>
      </c>
      <c r="C225" s="26" t="s">
        <v>2453</v>
      </c>
      <c r="D225" s="27" t="s">
        <v>2454</v>
      </c>
      <c r="E225" s="28" t="s">
        <v>1108</v>
      </c>
      <c r="F225" s="29" t="s">
        <v>2455</v>
      </c>
      <c r="G225" s="30">
        <v>1</v>
      </c>
      <c r="H225" s="31">
        <v>2</v>
      </c>
      <c r="I225" s="32" t="s">
        <v>36</v>
      </c>
      <c r="J225" s="33" t="s">
        <v>2456</v>
      </c>
      <c r="K225" s="34" t="s">
        <v>2457</v>
      </c>
      <c r="L225" s="35" t="s">
        <v>236</v>
      </c>
      <c r="M225" s="36" t="s">
        <v>2458</v>
      </c>
      <c r="N225" s="37" t="s">
        <v>2459</v>
      </c>
      <c r="O225" s="38" t="s">
        <v>239</v>
      </c>
      <c r="P225" s="39" t="s">
        <v>240</v>
      </c>
      <c r="Q225" s="40" t="s">
        <v>241</v>
      </c>
      <c r="R225" s="41" t="s">
        <v>35</v>
      </c>
      <c r="S225" s="42" t="s">
        <v>2460</v>
      </c>
      <c r="T225" s="43" t="s">
        <v>2461</v>
      </c>
      <c r="U225" s="45" t="str">
        <f>HYPERLINK("https://my.pitchbook.com?p=161836-93P", "View people online")</f>
        <v>View people online</v>
      </c>
    </row>
    <row r="226" spans="1:21" x14ac:dyDescent="0.3">
      <c r="A226" s="4" t="s">
        <v>2462</v>
      </c>
      <c r="B226" s="5" t="s">
        <v>2463</v>
      </c>
      <c r="C226" s="6" t="s">
        <v>2464</v>
      </c>
      <c r="D226" s="7" t="s">
        <v>2465</v>
      </c>
      <c r="E226" s="8" t="s">
        <v>2466</v>
      </c>
      <c r="F226" s="9" t="s">
        <v>2467</v>
      </c>
      <c r="G226" s="10" t="s">
        <v>36</v>
      </c>
      <c r="H226" s="11">
        <v>2</v>
      </c>
      <c r="I226" s="12">
        <v>1</v>
      </c>
      <c r="J226" s="13" t="s">
        <v>36</v>
      </c>
      <c r="K226" s="14" t="s">
        <v>2468</v>
      </c>
      <c r="L226" s="15" t="s">
        <v>397</v>
      </c>
      <c r="M226" s="16" t="s">
        <v>2469</v>
      </c>
      <c r="N226" s="17" t="s">
        <v>2470</v>
      </c>
      <c r="O226" s="18" t="s">
        <v>400</v>
      </c>
      <c r="P226" s="19" t="s">
        <v>400</v>
      </c>
      <c r="Q226" s="20" t="s">
        <v>2471</v>
      </c>
      <c r="R226" s="21" t="s">
        <v>35</v>
      </c>
      <c r="S226" s="22" t="s">
        <v>36</v>
      </c>
      <c r="T226" s="23" t="s">
        <v>2472</v>
      </c>
      <c r="U226" s="44" t="str">
        <f>HYPERLINK("https://my.pitchbook.com?p=74800-00P", "View people online")</f>
        <v>View people online</v>
      </c>
    </row>
    <row r="227" spans="1:21" x14ac:dyDescent="0.3">
      <c r="A227" s="24" t="s">
        <v>2473</v>
      </c>
      <c r="B227" s="25" t="s">
        <v>2474</v>
      </c>
      <c r="C227" s="26" t="s">
        <v>2475</v>
      </c>
      <c r="D227" s="27" t="s">
        <v>580</v>
      </c>
      <c r="E227" s="28" t="s">
        <v>2476</v>
      </c>
      <c r="F227" s="29" t="s">
        <v>2477</v>
      </c>
      <c r="G227" s="30" t="s">
        <v>36</v>
      </c>
      <c r="H227" s="31">
        <v>2</v>
      </c>
      <c r="I227" s="32" t="s">
        <v>36</v>
      </c>
      <c r="J227" s="33" t="s">
        <v>2478</v>
      </c>
      <c r="K227" s="34" t="s">
        <v>2479</v>
      </c>
      <c r="L227" s="35" t="s">
        <v>224</v>
      </c>
      <c r="M227" s="36" t="s">
        <v>2480</v>
      </c>
      <c r="N227" s="37" t="s">
        <v>466</v>
      </c>
      <c r="O227" s="38" t="s">
        <v>226</v>
      </c>
      <c r="P227" s="39" t="s">
        <v>50</v>
      </c>
      <c r="Q227" s="40" t="s">
        <v>776</v>
      </c>
      <c r="R227" s="41" t="s">
        <v>35</v>
      </c>
      <c r="S227" s="42" t="s">
        <v>36</v>
      </c>
      <c r="T227" s="43" t="s">
        <v>2481</v>
      </c>
      <c r="U227" s="45" t="str">
        <f>HYPERLINK("https://my.pitchbook.com?p=45888-76P", "View people online")</f>
        <v>View people online</v>
      </c>
    </row>
    <row r="228" spans="1:21" x14ac:dyDescent="0.3">
      <c r="A228" s="4" t="s">
        <v>2482</v>
      </c>
      <c r="B228" s="5" t="s">
        <v>2483</v>
      </c>
      <c r="C228" s="6" t="s">
        <v>2484</v>
      </c>
      <c r="D228" s="7" t="s">
        <v>2485</v>
      </c>
      <c r="E228" s="8" t="s">
        <v>380</v>
      </c>
      <c r="F228" s="9" t="s">
        <v>2486</v>
      </c>
      <c r="G228" s="10">
        <v>2</v>
      </c>
      <c r="H228" s="11">
        <v>2</v>
      </c>
      <c r="I228" s="12" t="s">
        <v>36</v>
      </c>
      <c r="J228" s="13" t="s">
        <v>2487</v>
      </c>
      <c r="K228" s="14" t="s">
        <v>2488</v>
      </c>
      <c r="L228" s="15" t="s">
        <v>183</v>
      </c>
      <c r="M228" s="16" t="s">
        <v>2489</v>
      </c>
      <c r="N228" s="17" t="s">
        <v>1307</v>
      </c>
      <c r="O228" s="18" t="s">
        <v>186</v>
      </c>
      <c r="P228" s="19" t="s">
        <v>50</v>
      </c>
      <c r="Q228" s="20" t="s">
        <v>718</v>
      </c>
      <c r="R228" s="21" t="s">
        <v>35</v>
      </c>
      <c r="S228" s="22" t="s">
        <v>36</v>
      </c>
      <c r="T228" s="23" t="s">
        <v>2490</v>
      </c>
      <c r="U228" s="44" t="str">
        <f>HYPERLINK("https://my.pitchbook.com?p=40874-05P", "View people online")</f>
        <v>View people online</v>
      </c>
    </row>
    <row r="229" spans="1:21" x14ac:dyDescent="0.3">
      <c r="A229" s="24" t="s">
        <v>2491</v>
      </c>
      <c r="B229" s="25" t="s">
        <v>2492</v>
      </c>
      <c r="C229" s="26" t="s">
        <v>2493</v>
      </c>
      <c r="D229" s="27" t="s">
        <v>2494</v>
      </c>
      <c r="E229" s="28" t="s">
        <v>2415</v>
      </c>
      <c r="F229" s="29" t="s">
        <v>2495</v>
      </c>
      <c r="G229" s="30">
        <v>1</v>
      </c>
      <c r="H229" s="31">
        <v>2</v>
      </c>
      <c r="I229" s="32" t="s">
        <v>36</v>
      </c>
      <c r="J229" s="33" t="s">
        <v>2496</v>
      </c>
      <c r="K229" s="34" t="s">
        <v>2497</v>
      </c>
      <c r="L229" s="35" t="s">
        <v>2498</v>
      </c>
      <c r="M229" s="36" t="s">
        <v>2499</v>
      </c>
      <c r="N229" s="37" t="s">
        <v>2500</v>
      </c>
      <c r="O229" s="38" t="s">
        <v>2501</v>
      </c>
      <c r="P229" s="39" t="s">
        <v>36</v>
      </c>
      <c r="Q229" s="40" t="s">
        <v>2502</v>
      </c>
      <c r="R229" s="41" t="s">
        <v>2503</v>
      </c>
      <c r="S229" s="42" t="s">
        <v>36</v>
      </c>
      <c r="T229" s="43" t="s">
        <v>2504</v>
      </c>
      <c r="U229" s="45" t="str">
        <f>HYPERLINK("https://my.pitchbook.com?p=126654-13P", "View people online")</f>
        <v>View people online</v>
      </c>
    </row>
    <row r="230" spans="1:21" x14ac:dyDescent="0.3">
      <c r="A230" s="4" t="s">
        <v>2505</v>
      </c>
      <c r="B230" s="5" t="s">
        <v>2506</v>
      </c>
      <c r="C230" s="6" t="s">
        <v>2507</v>
      </c>
      <c r="D230" s="7" t="s">
        <v>2508</v>
      </c>
      <c r="E230" s="8" t="s">
        <v>314</v>
      </c>
      <c r="F230" s="9" t="s">
        <v>2509</v>
      </c>
      <c r="G230" s="10">
        <v>1</v>
      </c>
      <c r="H230" s="11">
        <v>2</v>
      </c>
      <c r="I230" s="12" t="s">
        <v>36</v>
      </c>
      <c r="J230" s="13" t="s">
        <v>2510</v>
      </c>
      <c r="K230" s="14" t="s">
        <v>2511</v>
      </c>
      <c r="L230" s="15" t="s">
        <v>1469</v>
      </c>
      <c r="M230" s="16" t="s">
        <v>2512</v>
      </c>
      <c r="N230" s="17" t="s">
        <v>2513</v>
      </c>
      <c r="O230" s="18" t="s">
        <v>1471</v>
      </c>
      <c r="P230" s="19" t="s">
        <v>50</v>
      </c>
      <c r="Q230" s="20" t="s">
        <v>1472</v>
      </c>
      <c r="R230" s="21" t="s">
        <v>35</v>
      </c>
      <c r="S230" s="22" t="s">
        <v>36</v>
      </c>
      <c r="T230" s="23" t="s">
        <v>2514</v>
      </c>
      <c r="U230" s="44" t="str">
        <f>HYPERLINK("https://my.pitchbook.com?p=108228-43P", "View people online")</f>
        <v>View people online</v>
      </c>
    </row>
    <row r="231" spans="1:21" x14ac:dyDescent="0.3">
      <c r="A231" s="24" t="s">
        <v>2515</v>
      </c>
      <c r="B231" s="25" t="s">
        <v>2516</v>
      </c>
      <c r="C231" s="26" t="s">
        <v>2517</v>
      </c>
      <c r="D231" s="27" t="s">
        <v>2518</v>
      </c>
      <c r="E231" s="28" t="s">
        <v>407</v>
      </c>
      <c r="F231" s="29" t="s">
        <v>2519</v>
      </c>
      <c r="G231" s="30">
        <v>1</v>
      </c>
      <c r="H231" s="31">
        <v>2</v>
      </c>
      <c r="I231" s="32" t="s">
        <v>36</v>
      </c>
      <c r="J231" s="33" t="s">
        <v>2520</v>
      </c>
      <c r="K231" s="34" t="s">
        <v>2521</v>
      </c>
      <c r="L231" s="35" t="s">
        <v>2522</v>
      </c>
      <c r="M231" s="36" t="s">
        <v>2523</v>
      </c>
      <c r="N231" s="37" t="s">
        <v>2524</v>
      </c>
      <c r="O231" s="38" t="s">
        <v>2525</v>
      </c>
      <c r="P231" s="39" t="s">
        <v>33</v>
      </c>
      <c r="Q231" s="40" t="s">
        <v>2526</v>
      </c>
      <c r="R231" s="41" t="s">
        <v>35</v>
      </c>
      <c r="S231" s="42" t="s">
        <v>36</v>
      </c>
      <c r="T231" s="43" t="s">
        <v>2527</v>
      </c>
      <c r="U231" s="45" t="str">
        <f>HYPERLINK("https://my.pitchbook.com?p=163240-66P", "View people online")</f>
        <v>View people online</v>
      </c>
    </row>
    <row r="232" spans="1:21" x14ac:dyDescent="0.3">
      <c r="A232" s="4" t="s">
        <v>2528</v>
      </c>
      <c r="B232" s="5" t="s">
        <v>2529</v>
      </c>
      <c r="C232" s="6" t="s">
        <v>2530</v>
      </c>
      <c r="D232" s="7" t="s">
        <v>897</v>
      </c>
      <c r="E232" s="8" t="s">
        <v>2531</v>
      </c>
      <c r="F232" s="9" t="s">
        <v>2532</v>
      </c>
      <c r="G232" s="10">
        <v>1</v>
      </c>
      <c r="H232" s="11">
        <v>2</v>
      </c>
      <c r="I232" s="12" t="s">
        <v>36</v>
      </c>
      <c r="J232" s="13" t="s">
        <v>36</v>
      </c>
      <c r="K232" s="14" t="s">
        <v>2533</v>
      </c>
      <c r="L232" s="15" t="s">
        <v>46</v>
      </c>
      <c r="M232" s="16" t="s">
        <v>2534</v>
      </c>
      <c r="N232" s="17" t="s">
        <v>36</v>
      </c>
      <c r="O232" s="18" t="s">
        <v>49</v>
      </c>
      <c r="P232" s="19" t="s">
        <v>50</v>
      </c>
      <c r="Q232" s="20" t="s">
        <v>913</v>
      </c>
      <c r="R232" s="21" t="s">
        <v>35</v>
      </c>
      <c r="S232" s="22" t="s">
        <v>36</v>
      </c>
      <c r="T232" s="23" t="s">
        <v>2535</v>
      </c>
      <c r="U232" s="44" t="str">
        <f>HYPERLINK("https://my.pitchbook.com?p=133114-51P", "View people online")</f>
        <v>View people online</v>
      </c>
    </row>
    <row r="233" spans="1:21" x14ac:dyDescent="0.3">
      <c r="A233" s="24" t="s">
        <v>2536</v>
      </c>
      <c r="B233" s="25" t="s">
        <v>2537</v>
      </c>
      <c r="C233" s="26" t="s">
        <v>961</v>
      </c>
      <c r="D233" s="27" t="s">
        <v>897</v>
      </c>
      <c r="E233" s="28" t="s">
        <v>340</v>
      </c>
      <c r="F233" s="29" t="s">
        <v>2538</v>
      </c>
      <c r="G233" s="30">
        <v>2</v>
      </c>
      <c r="H233" s="31">
        <v>2</v>
      </c>
      <c r="I233" s="32" t="s">
        <v>36</v>
      </c>
      <c r="J233" s="33" t="s">
        <v>2539</v>
      </c>
      <c r="K233" s="34" t="s">
        <v>2540</v>
      </c>
      <c r="L233" s="35" t="s">
        <v>183</v>
      </c>
      <c r="M233" s="36" t="s">
        <v>2541</v>
      </c>
      <c r="N233" s="37" t="s">
        <v>2542</v>
      </c>
      <c r="O233" s="38" t="s">
        <v>186</v>
      </c>
      <c r="P233" s="39" t="s">
        <v>50</v>
      </c>
      <c r="Q233" s="40" t="s">
        <v>625</v>
      </c>
      <c r="R233" s="41" t="s">
        <v>35</v>
      </c>
      <c r="S233" s="42" t="s">
        <v>36</v>
      </c>
      <c r="T233" s="43" t="s">
        <v>2543</v>
      </c>
      <c r="U233" s="45" t="str">
        <f>HYPERLINK("https://my.pitchbook.com?p=46839-70P", "View people online")</f>
        <v>View people online</v>
      </c>
    </row>
    <row r="234" spans="1:21" x14ac:dyDescent="0.3">
      <c r="A234" s="4" t="s">
        <v>2544</v>
      </c>
      <c r="B234" s="5" t="s">
        <v>2545</v>
      </c>
      <c r="C234" s="6" t="s">
        <v>2546</v>
      </c>
      <c r="D234" s="7" t="s">
        <v>897</v>
      </c>
      <c r="E234" s="8" t="s">
        <v>314</v>
      </c>
      <c r="F234" s="9" t="s">
        <v>2547</v>
      </c>
      <c r="G234" s="10">
        <v>1</v>
      </c>
      <c r="H234" s="11">
        <v>2</v>
      </c>
      <c r="I234" s="12">
        <v>1</v>
      </c>
      <c r="J234" s="13" t="s">
        <v>2548</v>
      </c>
      <c r="K234" s="14" t="s">
        <v>2549</v>
      </c>
      <c r="L234" s="15" t="s">
        <v>1404</v>
      </c>
      <c r="M234" s="16" t="s">
        <v>2550</v>
      </c>
      <c r="N234" s="17" t="s">
        <v>36</v>
      </c>
      <c r="O234" s="18" t="s">
        <v>1407</v>
      </c>
      <c r="P234" s="19" t="s">
        <v>50</v>
      </c>
      <c r="Q234" s="20" t="s">
        <v>1562</v>
      </c>
      <c r="R234" s="21" t="s">
        <v>35</v>
      </c>
      <c r="S234" s="22" t="s">
        <v>36</v>
      </c>
      <c r="T234" s="23" t="s">
        <v>2551</v>
      </c>
      <c r="U234" s="44" t="str">
        <f>HYPERLINK("https://my.pitchbook.com?p=128007-28P", "View people online")</f>
        <v>View people online</v>
      </c>
    </row>
    <row r="235" spans="1:21" x14ac:dyDescent="0.3">
      <c r="A235" s="24" t="s">
        <v>2552</v>
      </c>
      <c r="B235" s="25" t="s">
        <v>2553</v>
      </c>
      <c r="C235" s="26" t="s">
        <v>2554</v>
      </c>
      <c r="D235" s="27" t="s">
        <v>2555</v>
      </c>
      <c r="E235" s="28" t="s">
        <v>128</v>
      </c>
      <c r="F235" s="29" t="s">
        <v>2556</v>
      </c>
      <c r="G235" s="30" t="s">
        <v>36</v>
      </c>
      <c r="H235" s="31">
        <v>2</v>
      </c>
      <c r="I235" s="32">
        <v>1</v>
      </c>
      <c r="J235" s="33" t="s">
        <v>36</v>
      </c>
      <c r="K235" s="34" t="s">
        <v>2557</v>
      </c>
      <c r="L235" s="35" t="s">
        <v>318</v>
      </c>
      <c r="M235" s="36" t="s">
        <v>2558</v>
      </c>
      <c r="N235" s="37" t="s">
        <v>2559</v>
      </c>
      <c r="O235" s="38" t="s">
        <v>321</v>
      </c>
      <c r="P235" s="39" t="s">
        <v>50</v>
      </c>
      <c r="Q235" s="40" t="s">
        <v>322</v>
      </c>
      <c r="R235" s="41" t="s">
        <v>35</v>
      </c>
      <c r="S235" s="42" t="s">
        <v>36</v>
      </c>
      <c r="T235" s="43" t="s">
        <v>2560</v>
      </c>
      <c r="U235" s="45" t="str">
        <f>HYPERLINK("https://my.pitchbook.com?p=36527-68P", "View people online")</f>
        <v>View people online</v>
      </c>
    </row>
    <row r="236" spans="1:21" x14ac:dyDescent="0.3">
      <c r="A236" s="4" t="s">
        <v>2561</v>
      </c>
      <c r="B236" s="5" t="s">
        <v>2562</v>
      </c>
      <c r="C236" s="6" t="s">
        <v>2563</v>
      </c>
      <c r="D236" s="7" t="s">
        <v>2564</v>
      </c>
      <c r="E236" s="8" t="s">
        <v>2565</v>
      </c>
      <c r="F236" s="9" t="s">
        <v>2566</v>
      </c>
      <c r="G236" s="10">
        <v>1</v>
      </c>
      <c r="H236" s="11">
        <v>2</v>
      </c>
      <c r="I236" s="12" t="s">
        <v>36</v>
      </c>
      <c r="J236" s="13" t="s">
        <v>2567</v>
      </c>
      <c r="K236" s="14" t="s">
        <v>2568</v>
      </c>
      <c r="L236" s="15" t="s">
        <v>2569</v>
      </c>
      <c r="M236" s="16" t="s">
        <v>2570</v>
      </c>
      <c r="N236" s="17" t="s">
        <v>2571</v>
      </c>
      <c r="O236" s="18" t="s">
        <v>2572</v>
      </c>
      <c r="P236" s="19" t="s">
        <v>36</v>
      </c>
      <c r="Q236" s="20" t="s">
        <v>36</v>
      </c>
      <c r="R236" s="21" t="s">
        <v>2573</v>
      </c>
      <c r="S236" s="22" t="s">
        <v>36</v>
      </c>
      <c r="T236" s="23" t="s">
        <v>2574</v>
      </c>
      <c r="U236" s="44" t="str">
        <f>HYPERLINK("https://my.pitchbook.com?p=140558-50P", "View people online")</f>
        <v>View people online</v>
      </c>
    </row>
    <row r="237" spans="1:21" x14ac:dyDescent="0.3">
      <c r="A237" s="24" t="s">
        <v>2575</v>
      </c>
      <c r="B237" s="25" t="s">
        <v>2576</v>
      </c>
      <c r="C237" s="26" t="s">
        <v>2577</v>
      </c>
      <c r="D237" s="27" t="s">
        <v>2578</v>
      </c>
      <c r="E237" s="28" t="s">
        <v>128</v>
      </c>
      <c r="F237" s="29" t="s">
        <v>2579</v>
      </c>
      <c r="G237" s="30" t="s">
        <v>36</v>
      </c>
      <c r="H237" s="31">
        <v>2</v>
      </c>
      <c r="I237" s="32" t="s">
        <v>36</v>
      </c>
      <c r="J237" s="33" t="s">
        <v>36</v>
      </c>
      <c r="K237" s="34" t="s">
        <v>36</v>
      </c>
      <c r="L237" s="35" t="s">
        <v>2580</v>
      </c>
      <c r="M237" s="36" t="s">
        <v>2581</v>
      </c>
      <c r="N237" s="37" t="s">
        <v>2582</v>
      </c>
      <c r="O237" s="38" t="s">
        <v>2583</v>
      </c>
      <c r="P237" s="39" t="s">
        <v>50</v>
      </c>
      <c r="Q237" s="40" t="s">
        <v>2584</v>
      </c>
      <c r="R237" s="41" t="s">
        <v>35</v>
      </c>
      <c r="S237" s="42" t="s">
        <v>36</v>
      </c>
      <c r="T237" s="43" t="s">
        <v>2585</v>
      </c>
      <c r="U237" s="45" t="str">
        <f>HYPERLINK("https://my.pitchbook.com?p=67536-55P", "View people online")</f>
        <v>View people online</v>
      </c>
    </row>
    <row r="238" spans="1:21" x14ac:dyDescent="0.3">
      <c r="A238" s="4" t="s">
        <v>2586</v>
      </c>
      <c r="B238" s="5" t="s">
        <v>2587</v>
      </c>
      <c r="C238" s="6" t="s">
        <v>2588</v>
      </c>
      <c r="D238" s="7" t="s">
        <v>2589</v>
      </c>
      <c r="E238" s="8" t="s">
        <v>179</v>
      </c>
      <c r="F238" s="9" t="s">
        <v>2590</v>
      </c>
      <c r="G238" s="10" t="s">
        <v>36</v>
      </c>
      <c r="H238" s="11">
        <v>2</v>
      </c>
      <c r="I238" s="12">
        <v>1</v>
      </c>
      <c r="J238" s="13" t="s">
        <v>2591</v>
      </c>
      <c r="K238" s="14" t="s">
        <v>2592</v>
      </c>
      <c r="L238" s="15" t="s">
        <v>183</v>
      </c>
      <c r="M238" s="16" t="s">
        <v>2593</v>
      </c>
      <c r="N238" s="17" t="s">
        <v>36</v>
      </c>
      <c r="O238" s="18" t="s">
        <v>186</v>
      </c>
      <c r="P238" s="19" t="s">
        <v>50</v>
      </c>
      <c r="Q238" s="20" t="s">
        <v>278</v>
      </c>
      <c r="R238" s="21" t="s">
        <v>35</v>
      </c>
      <c r="S238" s="22" t="s">
        <v>36</v>
      </c>
      <c r="T238" s="23" t="s">
        <v>2594</v>
      </c>
      <c r="U238" s="44" t="str">
        <f>HYPERLINK("https://my.pitchbook.com?p=79623-91P", "View people online")</f>
        <v>View people online</v>
      </c>
    </row>
    <row r="239" spans="1:21" x14ac:dyDescent="0.3">
      <c r="A239" s="24" t="s">
        <v>2595</v>
      </c>
      <c r="B239" s="25" t="s">
        <v>2596</v>
      </c>
      <c r="C239" s="26" t="s">
        <v>2597</v>
      </c>
      <c r="D239" s="27" t="s">
        <v>2598</v>
      </c>
      <c r="E239" s="28" t="s">
        <v>2599</v>
      </c>
      <c r="F239" s="29" t="s">
        <v>2600</v>
      </c>
      <c r="G239" s="30" t="s">
        <v>36</v>
      </c>
      <c r="H239" s="31">
        <v>2</v>
      </c>
      <c r="I239" s="32" t="s">
        <v>36</v>
      </c>
      <c r="J239" s="33" t="s">
        <v>2601</v>
      </c>
      <c r="K239" s="34" t="s">
        <v>2602</v>
      </c>
      <c r="L239" s="35" t="s">
        <v>2092</v>
      </c>
      <c r="M239" s="36" t="s">
        <v>2603</v>
      </c>
      <c r="N239" s="37" t="s">
        <v>2604</v>
      </c>
      <c r="O239" s="38" t="s">
        <v>2094</v>
      </c>
      <c r="P239" s="39" t="s">
        <v>50</v>
      </c>
      <c r="Q239" s="40" t="s">
        <v>2605</v>
      </c>
      <c r="R239" s="41" t="s">
        <v>35</v>
      </c>
      <c r="S239" s="42" t="s">
        <v>2606</v>
      </c>
      <c r="T239" s="43" t="s">
        <v>2607</v>
      </c>
      <c r="U239" s="45" t="str">
        <f>HYPERLINK("https://my.pitchbook.com?p=36036-10P", "View people online")</f>
        <v>View people online</v>
      </c>
    </row>
    <row r="240" spans="1:21" x14ac:dyDescent="0.3">
      <c r="A240" s="4" t="s">
        <v>2608</v>
      </c>
      <c r="B240" s="5" t="s">
        <v>2609</v>
      </c>
      <c r="C240" s="6" t="s">
        <v>2610</v>
      </c>
      <c r="D240" s="7" t="s">
        <v>2611</v>
      </c>
      <c r="E240" s="8" t="s">
        <v>2612</v>
      </c>
      <c r="F240" s="9" t="s">
        <v>2613</v>
      </c>
      <c r="G240" s="10">
        <v>1</v>
      </c>
      <c r="H240" s="11">
        <v>2</v>
      </c>
      <c r="I240" s="12" t="s">
        <v>36</v>
      </c>
      <c r="J240" s="13" t="s">
        <v>2614</v>
      </c>
      <c r="K240" s="14" t="s">
        <v>2615</v>
      </c>
      <c r="L240" s="15" t="s">
        <v>1377</v>
      </c>
      <c r="M240" s="16" t="s">
        <v>2616</v>
      </c>
      <c r="N240" s="17" t="s">
        <v>36</v>
      </c>
      <c r="O240" s="18" t="s">
        <v>1379</v>
      </c>
      <c r="P240" s="19" t="s">
        <v>50</v>
      </c>
      <c r="Q240" s="20" t="s">
        <v>1380</v>
      </c>
      <c r="R240" s="21" t="s">
        <v>35</v>
      </c>
      <c r="S240" s="22" t="s">
        <v>36</v>
      </c>
      <c r="T240" s="23" t="s">
        <v>2617</v>
      </c>
      <c r="U240" s="44" t="str">
        <f>HYPERLINK("https://my.pitchbook.com?p=129560-32P", "View people online")</f>
        <v>View people online</v>
      </c>
    </row>
    <row r="241" spans="1:21" x14ac:dyDescent="0.3">
      <c r="A241" s="24" t="s">
        <v>2618</v>
      </c>
      <c r="B241" s="25" t="s">
        <v>2619</v>
      </c>
      <c r="C241" s="26" t="s">
        <v>2620</v>
      </c>
      <c r="D241" s="27" t="s">
        <v>2621</v>
      </c>
      <c r="E241" s="28" t="s">
        <v>1531</v>
      </c>
      <c r="F241" s="29" t="s">
        <v>2622</v>
      </c>
      <c r="G241" s="30">
        <v>1</v>
      </c>
      <c r="H241" s="31">
        <v>2</v>
      </c>
      <c r="I241" s="32">
        <v>1</v>
      </c>
      <c r="J241" s="33" t="s">
        <v>2623</v>
      </c>
      <c r="K241" s="34" t="s">
        <v>2624</v>
      </c>
      <c r="L241" s="35" t="s">
        <v>224</v>
      </c>
      <c r="M241" s="36" t="s">
        <v>2625</v>
      </c>
      <c r="N241" s="37" t="s">
        <v>36</v>
      </c>
      <c r="O241" s="38" t="s">
        <v>226</v>
      </c>
      <c r="P241" s="39" t="s">
        <v>50</v>
      </c>
      <c r="Q241" s="40" t="s">
        <v>227</v>
      </c>
      <c r="R241" s="41" t="s">
        <v>35</v>
      </c>
      <c r="S241" s="42" t="s">
        <v>36</v>
      </c>
      <c r="T241" s="43" t="s">
        <v>2626</v>
      </c>
      <c r="U241" s="45" t="str">
        <f>HYPERLINK("https://my.pitchbook.com?p=45499-06P", "View people online")</f>
        <v>View people online</v>
      </c>
    </row>
    <row r="242" spans="1:21" x14ac:dyDescent="0.3">
      <c r="A242" s="4" t="s">
        <v>2627</v>
      </c>
      <c r="B242" s="5" t="s">
        <v>2628</v>
      </c>
      <c r="C242" s="6" t="s">
        <v>2629</v>
      </c>
      <c r="D242" s="7" t="s">
        <v>2630</v>
      </c>
      <c r="E242" s="8" t="s">
        <v>2631</v>
      </c>
      <c r="F242" s="9" t="s">
        <v>2632</v>
      </c>
      <c r="G242" s="10">
        <v>2</v>
      </c>
      <c r="H242" s="11">
        <v>2</v>
      </c>
      <c r="I242" s="12" t="s">
        <v>36</v>
      </c>
      <c r="J242" s="13" t="s">
        <v>2633</v>
      </c>
      <c r="K242" s="14" t="s">
        <v>2634</v>
      </c>
      <c r="L242" s="15" t="s">
        <v>397</v>
      </c>
      <c r="M242" s="16" t="s">
        <v>2635</v>
      </c>
      <c r="N242" s="17" t="s">
        <v>36</v>
      </c>
      <c r="O242" s="18" t="s">
        <v>400</v>
      </c>
      <c r="P242" s="19" t="s">
        <v>400</v>
      </c>
      <c r="Q242" s="20" t="s">
        <v>2636</v>
      </c>
      <c r="R242" s="21" t="s">
        <v>35</v>
      </c>
      <c r="S242" s="22" t="s">
        <v>2637</v>
      </c>
      <c r="T242" s="23" t="s">
        <v>2638</v>
      </c>
      <c r="U242" s="44" t="str">
        <f>HYPERLINK("https://my.pitchbook.com?p=59891-41P", "View people online")</f>
        <v>View people online</v>
      </c>
    </row>
    <row r="243" spans="1:21" x14ac:dyDescent="0.3">
      <c r="A243" s="24" t="s">
        <v>2639</v>
      </c>
      <c r="B243" s="25" t="s">
        <v>2640</v>
      </c>
      <c r="C243" s="26" t="s">
        <v>2641</v>
      </c>
      <c r="D243" s="27" t="s">
        <v>2642</v>
      </c>
      <c r="E243" s="28" t="s">
        <v>179</v>
      </c>
      <c r="F243" s="29" t="s">
        <v>2643</v>
      </c>
      <c r="G243" s="30" t="s">
        <v>36</v>
      </c>
      <c r="H243" s="31">
        <v>2</v>
      </c>
      <c r="I243" s="32">
        <v>1</v>
      </c>
      <c r="J243" s="33" t="s">
        <v>36</v>
      </c>
      <c r="K243" s="34" t="s">
        <v>2644</v>
      </c>
      <c r="L243" s="35" t="s">
        <v>397</v>
      </c>
      <c r="M243" s="36" t="s">
        <v>2645</v>
      </c>
      <c r="N243" s="37" t="s">
        <v>2646</v>
      </c>
      <c r="O243" s="38" t="s">
        <v>400</v>
      </c>
      <c r="P243" s="39" t="s">
        <v>400</v>
      </c>
      <c r="Q243" s="40" t="s">
        <v>2647</v>
      </c>
      <c r="R243" s="41" t="s">
        <v>35</v>
      </c>
      <c r="S243" s="42" t="s">
        <v>36</v>
      </c>
      <c r="T243" s="43" t="s">
        <v>2648</v>
      </c>
      <c r="U243" s="45" t="str">
        <f>HYPERLINK("https://my.pitchbook.com?p=40682-35P", "View people online")</f>
        <v>View people online</v>
      </c>
    </row>
    <row r="244" spans="1:21" x14ac:dyDescent="0.3">
      <c r="A244" s="4" t="s">
        <v>2649</v>
      </c>
      <c r="B244" s="5" t="s">
        <v>2650</v>
      </c>
      <c r="C244" s="6" t="s">
        <v>2651</v>
      </c>
      <c r="D244" s="7" t="s">
        <v>2652</v>
      </c>
      <c r="E244" s="8" t="s">
        <v>179</v>
      </c>
      <c r="F244" s="9" t="s">
        <v>2653</v>
      </c>
      <c r="G244" s="10" t="s">
        <v>36</v>
      </c>
      <c r="H244" s="11">
        <v>2</v>
      </c>
      <c r="I244" s="12" t="s">
        <v>36</v>
      </c>
      <c r="J244" s="13" t="s">
        <v>2654</v>
      </c>
      <c r="K244" s="14" t="s">
        <v>2655</v>
      </c>
      <c r="L244" s="15" t="s">
        <v>397</v>
      </c>
      <c r="M244" s="16" t="s">
        <v>2656</v>
      </c>
      <c r="N244" s="17" t="s">
        <v>36</v>
      </c>
      <c r="O244" s="18" t="s">
        <v>400</v>
      </c>
      <c r="P244" s="19" t="s">
        <v>400</v>
      </c>
      <c r="Q244" s="20" t="s">
        <v>2636</v>
      </c>
      <c r="R244" s="21" t="s">
        <v>35</v>
      </c>
      <c r="S244" s="22" t="s">
        <v>36</v>
      </c>
      <c r="T244" s="23" t="s">
        <v>2657</v>
      </c>
      <c r="U244" s="44" t="str">
        <f>HYPERLINK("https://my.pitchbook.com?p=98399-26P", "View people online")</f>
        <v>View people online</v>
      </c>
    </row>
    <row r="245" spans="1:21" x14ac:dyDescent="0.3">
      <c r="A245" s="24" t="s">
        <v>2658</v>
      </c>
      <c r="B245" s="25" t="s">
        <v>2659</v>
      </c>
      <c r="C245" s="26" t="s">
        <v>2660</v>
      </c>
      <c r="D245" s="27" t="s">
        <v>570</v>
      </c>
      <c r="E245" s="28" t="s">
        <v>2661</v>
      </c>
      <c r="F245" s="29" t="s">
        <v>2662</v>
      </c>
      <c r="G245" s="30">
        <v>2</v>
      </c>
      <c r="H245" s="31">
        <v>2</v>
      </c>
      <c r="I245" s="32" t="s">
        <v>36</v>
      </c>
      <c r="J245" s="33" t="s">
        <v>2663</v>
      </c>
      <c r="K245" s="34" t="s">
        <v>2664</v>
      </c>
      <c r="L245" s="35" t="s">
        <v>2665</v>
      </c>
      <c r="M245" s="36" t="s">
        <v>2666</v>
      </c>
      <c r="N245" s="37" t="s">
        <v>2667</v>
      </c>
      <c r="O245" s="38" t="s">
        <v>2668</v>
      </c>
      <c r="P245" s="39" t="s">
        <v>468</v>
      </c>
      <c r="Q245" s="40" t="s">
        <v>2669</v>
      </c>
      <c r="R245" s="41" t="s">
        <v>35</v>
      </c>
      <c r="S245" s="42" t="s">
        <v>36</v>
      </c>
      <c r="T245" s="43" t="s">
        <v>2670</v>
      </c>
      <c r="U245" s="45" t="str">
        <f>HYPERLINK("https://my.pitchbook.com?p=83910-43P", "View people online")</f>
        <v>View people online</v>
      </c>
    </row>
    <row r="246" spans="1:21" x14ac:dyDescent="0.3">
      <c r="A246" s="4" t="s">
        <v>2671</v>
      </c>
      <c r="B246" s="5" t="s">
        <v>2672</v>
      </c>
      <c r="C246" s="6" t="s">
        <v>2673</v>
      </c>
      <c r="D246" s="7" t="s">
        <v>1556</v>
      </c>
      <c r="E246" s="8" t="s">
        <v>128</v>
      </c>
      <c r="F246" s="9" t="s">
        <v>2674</v>
      </c>
      <c r="G246" s="10" t="s">
        <v>36</v>
      </c>
      <c r="H246" s="11">
        <v>2</v>
      </c>
      <c r="I246" s="12">
        <v>1</v>
      </c>
      <c r="J246" s="13" t="s">
        <v>2675</v>
      </c>
      <c r="K246" s="14" t="s">
        <v>2676</v>
      </c>
      <c r="L246" s="15" t="s">
        <v>183</v>
      </c>
      <c r="M246" s="16" t="s">
        <v>2677</v>
      </c>
      <c r="N246" s="17" t="s">
        <v>265</v>
      </c>
      <c r="O246" s="18" t="s">
        <v>186</v>
      </c>
      <c r="P246" s="19" t="s">
        <v>50</v>
      </c>
      <c r="Q246" s="20" t="s">
        <v>266</v>
      </c>
      <c r="R246" s="21" t="s">
        <v>35</v>
      </c>
      <c r="S246" s="22" t="s">
        <v>2678</v>
      </c>
      <c r="T246" s="23" t="s">
        <v>2679</v>
      </c>
      <c r="U246" s="44" t="str">
        <f>HYPERLINK("https://my.pitchbook.com?p=40016-53P", "View people online")</f>
        <v>View people online</v>
      </c>
    </row>
    <row r="247" spans="1:21" x14ac:dyDescent="0.3">
      <c r="A247" s="24" t="s">
        <v>2680</v>
      </c>
      <c r="B247" s="25" t="s">
        <v>2681</v>
      </c>
      <c r="C247" s="26" t="s">
        <v>2682</v>
      </c>
      <c r="D247" s="27" t="s">
        <v>1556</v>
      </c>
      <c r="E247" s="28" t="s">
        <v>2683</v>
      </c>
      <c r="F247" s="29" t="s">
        <v>2684</v>
      </c>
      <c r="G247" s="30" t="s">
        <v>36</v>
      </c>
      <c r="H247" s="31">
        <v>2</v>
      </c>
      <c r="I247" s="32" t="s">
        <v>36</v>
      </c>
      <c r="J247" s="33" t="s">
        <v>2685</v>
      </c>
      <c r="K247" s="34" t="s">
        <v>36</v>
      </c>
      <c r="L247" s="35" t="s">
        <v>2686</v>
      </c>
      <c r="M247" s="36" t="s">
        <v>2687</v>
      </c>
      <c r="N247" s="37" t="s">
        <v>36</v>
      </c>
      <c r="O247" s="38" t="s">
        <v>2688</v>
      </c>
      <c r="P247" s="39" t="s">
        <v>2689</v>
      </c>
      <c r="Q247" s="40" t="s">
        <v>2690</v>
      </c>
      <c r="R247" s="41" t="s">
        <v>35</v>
      </c>
      <c r="S247" s="42" t="s">
        <v>36</v>
      </c>
      <c r="T247" s="43" t="s">
        <v>2691</v>
      </c>
      <c r="U247" s="45" t="str">
        <f>HYPERLINK("https://my.pitchbook.com?p=102347-11P", "View people online")</f>
        <v>View people online</v>
      </c>
    </row>
    <row r="248" spans="1:21" x14ac:dyDescent="0.3">
      <c r="A248" s="4" t="s">
        <v>2692</v>
      </c>
      <c r="B248" s="5" t="s">
        <v>2693</v>
      </c>
      <c r="C248" s="6" t="s">
        <v>2694</v>
      </c>
      <c r="D248" s="7" t="s">
        <v>2695</v>
      </c>
      <c r="E248" s="8" t="s">
        <v>2696</v>
      </c>
      <c r="F248" s="9" t="s">
        <v>2697</v>
      </c>
      <c r="G248" s="10" t="s">
        <v>36</v>
      </c>
      <c r="H248" s="11">
        <v>2</v>
      </c>
      <c r="I248" s="12">
        <v>1</v>
      </c>
      <c r="J248" s="13" t="s">
        <v>2698</v>
      </c>
      <c r="K248" s="14" t="s">
        <v>2699</v>
      </c>
      <c r="L248" s="15" t="s">
        <v>2700</v>
      </c>
      <c r="M248" s="16" t="s">
        <v>2701</v>
      </c>
      <c r="N248" s="17" t="s">
        <v>36</v>
      </c>
      <c r="O248" s="18" t="s">
        <v>2702</v>
      </c>
      <c r="P248" s="19" t="s">
        <v>2703</v>
      </c>
      <c r="Q248" s="20" t="s">
        <v>2704</v>
      </c>
      <c r="R248" s="21" t="s">
        <v>2705</v>
      </c>
      <c r="S248" s="22" t="s">
        <v>2706</v>
      </c>
      <c r="T248" s="23" t="s">
        <v>2707</v>
      </c>
      <c r="U248" s="44" t="str">
        <f>HYPERLINK("https://my.pitchbook.com?p=93028-24P", "View people online")</f>
        <v>View people online</v>
      </c>
    </row>
    <row r="249" spans="1:21" x14ac:dyDescent="0.3">
      <c r="A249" s="24" t="s">
        <v>2708</v>
      </c>
      <c r="B249" s="25" t="s">
        <v>2709</v>
      </c>
      <c r="C249" s="26" t="s">
        <v>2710</v>
      </c>
      <c r="D249" s="27" t="s">
        <v>2711</v>
      </c>
      <c r="E249" s="28" t="s">
        <v>2712</v>
      </c>
      <c r="F249" s="29" t="s">
        <v>2713</v>
      </c>
      <c r="G249" s="30" t="s">
        <v>36</v>
      </c>
      <c r="H249" s="31">
        <v>2</v>
      </c>
      <c r="I249" s="32" t="s">
        <v>36</v>
      </c>
      <c r="J249" s="33" t="s">
        <v>36</v>
      </c>
      <c r="K249" s="34" t="s">
        <v>36</v>
      </c>
      <c r="L249" s="35" t="s">
        <v>397</v>
      </c>
      <c r="M249" s="36" t="s">
        <v>2714</v>
      </c>
      <c r="N249" s="37" t="s">
        <v>624</v>
      </c>
      <c r="O249" s="38" t="s">
        <v>400</v>
      </c>
      <c r="P249" s="39" t="s">
        <v>400</v>
      </c>
      <c r="Q249" s="40" t="s">
        <v>1061</v>
      </c>
      <c r="R249" s="41" t="s">
        <v>35</v>
      </c>
      <c r="S249" s="42" t="s">
        <v>36</v>
      </c>
      <c r="T249" s="43" t="s">
        <v>2715</v>
      </c>
      <c r="U249" s="45" t="str">
        <f>HYPERLINK("https://my.pitchbook.com?p=148291-93P", "View people online")</f>
        <v>View people online</v>
      </c>
    </row>
    <row r="250" spans="1:21" x14ac:dyDescent="0.3">
      <c r="A250" s="4" t="s">
        <v>2716</v>
      </c>
      <c r="B250" s="5" t="s">
        <v>2717</v>
      </c>
      <c r="C250" s="6" t="s">
        <v>2718</v>
      </c>
      <c r="D250" s="7" t="s">
        <v>2719</v>
      </c>
      <c r="E250" s="8" t="s">
        <v>380</v>
      </c>
      <c r="F250" s="9" t="s">
        <v>2720</v>
      </c>
      <c r="G250" s="10">
        <v>1</v>
      </c>
      <c r="H250" s="11">
        <v>2</v>
      </c>
      <c r="I250" s="12">
        <v>1</v>
      </c>
      <c r="J250" s="13" t="s">
        <v>36</v>
      </c>
      <c r="K250" s="14" t="s">
        <v>36</v>
      </c>
      <c r="L250" s="15" t="s">
        <v>2721</v>
      </c>
      <c r="M250" s="16" t="s">
        <v>36</v>
      </c>
      <c r="N250" s="17" t="s">
        <v>36</v>
      </c>
      <c r="O250" s="18" t="s">
        <v>36</v>
      </c>
      <c r="P250" s="19" t="s">
        <v>36</v>
      </c>
      <c r="Q250" s="20" t="s">
        <v>36</v>
      </c>
      <c r="R250" s="21" t="s">
        <v>2721</v>
      </c>
      <c r="S250" s="22" t="s">
        <v>36</v>
      </c>
      <c r="T250" s="23" t="s">
        <v>2722</v>
      </c>
      <c r="U250" s="44" t="str">
        <f>HYPERLINK("https://my.pitchbook.com?p=100872-28P", "View people online")</f>
        <v>View people online</v>
      </c>
    </row>
    <row r="251" spans="1:21" x14ac:dyDescent="0.3">
      <c r="A251" s="24" t="s">
        <v>2723</v>
      </c>
      <c r="B251" s="25" t="s">
        <v>2724</v>
      </c>
      <c r="C251" s="26" t="s">
        <v>2725</v>
      </c>
      <c r="D251" s="27" t="s">
        <v>2726</v>
      </c>
      <c r="E251" s="28" t="s">
        <v>689</v>
      </c>
      <c r="F251" s="29" t="s">
        <v>2727</v>
      </c>
      <c r="G251" s="30">
        <v>2</v>
      </c>
      <c r="H251" s="31">
        <v>2</v>
      </c>
      <c r="I251" s="32" t="s">
        <v>36</v>
      </c>
      <c r="J251" s="33" t="s">
        <v>2728</v>
      </c>
      <c r="K251" s="34" t="s">
        <v>2729</v>
      </c>
      <c r="L251" s="35" t="s">
        <v>2730</v>
      </c>
      <c r="M251" s="36" t="s">
        <v>2731</v>
      </c>
      <c r="N251" s="37" t="s">
        <v>36</v>
      </c>
      <c r="O251" s="38" t="s">
        <v>2732</v>
      </c>
      <c r="P251" s="39" t="s">
        <v>1140</v>
      </c>
      <c r="Q251" s="40" t="s">
        <v>2733</v>
      </c>
      <c r="R251" s="41" t="s">
        <v>35</v>
      </c>
      <c r="S251" s="42" t="s">
        <v>36</v>
      </c>
      <c r="T251" s="43" t="s">
        <v>2734</v>
      </c>
      <c r="U251" s="45" t="str">
        <f>HYPERLINK("https://my.pitchbook.com?p=157954-69P", "View people online")</f>
        <v>View people online</v>
      </c>
    </row>
    <row r="252" spans="1:21" x14ac:dyDescent="0.3">
      <c r="A252" s="4" t="s">
        <v>2735</v>
      </c>
      <c r="B252" s="5" t="s">
        <v>2736</v>
      </c>
      <c r="C252" s="6" t="s">
        <v>1834</v>
      </c>
      <c r="D252" s="7" t="s">
        <v>2737</v>
      </c>
      <c r="E252" s="8" t="s">
        <v>128</v>
      </c>
      <c r="F252" s="9" t="s">
        <v>2738</v>
      </c>
      <c r="G252" s="10" t="s">
        <v>36</v>
      </c>
      <c r="H252" s="11">
        <v>2</v>
      </c>
      <c r="I252" s="12" t="s">
        <v>36</v>
      </c>
      <c r="J252" s="13" t="s">
        <v>2739</v>
      </c>
      <c r="K252" s="14" t="s">
        <v>2740</v>
      </c>
      <c r="L252" s="15" t="s">
        <v>595</v>
      </c>
      <c r="M252" s="16" t="s">
        <v>2741</v>
      </c>
      <c r="N252" s="17" t="s">
        <v>2742</v>
      </c>
      <c r="O252" s="18" t="s">
        <v>598</v>
      </c>
      <c r="P252" s="19" t="s">
        <v>2743</v>
      </c>
      <c r="Q252" s="20" t="s">
        <v>2744</v>
      </c>
      <c r="R252" s="21" t="s">
        <v>601</v>
      </c>
      <c r="S252" s="22" t="s">
        <v>2745</v>
      </c>
      <c r="T252" s="23" t="s">
        <v>2746</v>
      </c>
      <c r="U252" s="44" t="str">
        <f>HYPERLINK("https://my.pitchbook.com?p=129560-23P", "View people online")</f>
        <v>View people online</v>
      </c>
    </row>
    <row r="253" spans="1:21" x14ac:dyDescent="0.3">
      <c r="A253" s="24" t="s">
        <v>2747</v>
      </c>
      <c r="B253" s="25" t="s">
        <v>2748</v>
      </c>
      <c r="C253" s="26" t="s">
        <v>2620</v>
      </c>
      <c r="D253" s="27" t="s">
        <v>2749</v>
      </c>
      <c r="E253" s="28" t="s">
        <v>86</v>
      </c>
      <c r="F253" s="29" t="s">
        <v>2750</v>
      </c>
      <c r="G253" s="30" t="s">
        <v>36</v>
      </c>
      <c r="H253" s="31">
        <v>2</v>
      </c>
      <c r="I253" s="32" t="s">
        <v>36</v>
      </c>
      <c r="J253" s="33" t="s">
        <v>36</v>
      </c>
      <c r="K253" s="34" t="s">
        <v>36</v>
      </c>
      <c r="L253" s="35" t="s">
        <v>183</v>
      </c>
      <c r="M253" s="36" t="s">
        <v>36</v>
      </c>
      <c r="N253" s="37" t="s">
        <v>36</v>
      </c>
      <c r="O253" s="38" t="s">
        <v>186</v>
      </c>
      <c r="P253" s="39" t="s">
        <v>50</v>
      </c>
      <c r="Q253" s="40" t="s">
        <v>36</v>
      </c>
      <c r="R253" s="41" t="s">
        <v>35</v>
      </c>
      <c r="S253" s="42" t="s">
        <v>36</v>
      </c>
      <c r="T253" s="43" t="s">
        <v>2751</v>
      </c>
      <c r="U253" s="45" t="str">
        <f>HYPERLINK("https://my.pitchbook.com?p=102185-47P", "View people online")</f>
        <v>View people online</v>
      </c>
    </row>
    <row r="254" spans="1:21" x14ac:dyDescent="0.3">
      <c r="A254" s="4" t="s">
        <v>2752</v>
      </c>
      <c r="B254" s="5" t="s">
        <v>2753</v>
      </c>
      <c r="C254" s="6" t="s">
        <v>2754</v>
      </c>
      <c r="D254" s="7" t="s">
        <v>2755</v>
      </c>
      <c r="E254" s="8" t="s">
        <v>354</v>
      </c>
      <c r="F254" s="9" t="s">
        <v>2756</v>
      </c>
      <c r="G254" s="10" t="s">
        <v>36</v>
      </c>
      <c r="H254" s="11">
        <v>2</v>
      </c>
      <c r="I254" s="12">
        <v>1</v>
      </c>
      <c r="J254" s="13" t="s">
        <v>2757</v>
      </c>
      <c r="K254" s="14" t="s">
        <v>2758</v>
      </c>
      <c r="L254" s="15" t="s">
        <v>2759</v>
      </c>
      <c r="M254" s="16" t="s">
        <v>2760</v>
      </c>
      <c r="N254" s="17" t="s">
        <v>36</v>
      </c>
      <c r="O254" s="18" t="s">
        <v>2761</v>
      </c>
      <c r="P254" s="19" t="s">
        <v>36</v>
      </c>
      <c r="Q254" s="20" t="s">
        <v>2762</v>
      </c>
      <c r="R254" s="21" t="s">
        <v>671</v>
      </c>
      <c r="S254" s="22" t="s">
        <v>2763</v>
      </c>
      <c r="T254" s="23" t="s">
        <v>2764</v>
      </c>
      <c r="U254" s="44" t="str">
        <f>HYPERLINK("https://my.pitchbook.com?p=80724-52P", "View people online")</f>
        <v>View people online</v>
      </c>
    </row>
    <row r="255" spans="1:21" x14ac:dyDescent="0.3">
      <c r="A255" s="24" t="s">
        <v>2765</v>
      </c>
      <c r="B255" s="25" t="s">
        <v>2766</v>
      </c>
      <c r="C255" s="26" t="s">
        <v>2767</v>
      </c>
      <c r="D255" s="27" t="s">
        <v>2768</v>
      </c>
      <c r="E255" s="28" t="s">
        <v>86</v>
      </c>
      <c r="F255" s="29" t="s">
        <v>2769</v>
      </c>
      <c r="G255" s="30" t="s">
        <v>36</v>
      </c>
      <c r="H255" s="31">
        <v>2</v>
      </c>
      <c r="I255" s="32" t="s">
        <v>36</v>
      </c>
      <c r="J255" s="33" t="s">
        <v>2770</v>
      </c>
      <c r="K255" s="34" t="s">
        <v>2771</v>
      </c>
      <c r="L255" s="35" t="s">
        <v>46</v>
      </c>
      <c r="M255" s="36" t="s">
        <v>2772</v>
      </c>
      <c r="N255" s="37" t="s">
        <v>287</v>
      </c>
      <c r="O255" s="38" t="s">
        <v>49</v>
      </c>
      <c r="P255" s="39" t="s">
        <v>50</v>
      </c>
      <c r="Q255" s="40" t="s">
        <v>51</v>
      </c>
      <c r="R255" s="41" t="s">
        <v>35</v>
      </c>
      <c r="S255" s="42" t="s">
        <v>36</v>
      </c>
      <c r="T255" s="43" t="s">
        <v>2773</v>
      </c>
      <c r="U255" s="45" t="str">
        <f>HYPERLINK("https://my.pitchbook.com?p=35509-24P", "View people online")</f>
        <v>View people online</v>
      </c>
    </row>
    <row r="256" spans="1:21" x14ac:dyDescent="0.3">
      <c r="A256" s="4" t="s">
        <v>2774</v>
      </c>
      <c r="B256" s="5" t="s">
        <v>2775</v>
      </c>
      <c r="C256" s="6" t="s">
        <v>2776</v>
      </c>
      <c r="D256" s="7" t="s">
        <v>2777</v>
      </c>
      <c r="E256" s="8" t="s">
        <v>2778</v>
      </c>
      <c r="F256" s="9" t="s">
        <v>2779</v>
      </c>
      <c r="G256" s="10">
        <v>1</v>
      </c>
      <c r="H256" s="11">
        <v>2</v>
      </c>
      <c r="I256" s="12" t="s">
        <v>36</v>
      </c>
      <c r="J256" s="13" t="s">
        <v>2780</v>
      </c>
      <c r="K256" s="14" t="s">
        <v>2781</v>
      </c>
      <c r="L256" s="15" t="s">
        <v>131</v>
      </c>
      <c r="M256" s="16" t="s">
        <v>2782</v>
      </c>
      <c r="N256" s="17" t="s">
        <v>2783</v>
      </c>
      <c r="O256" s="18" t="s">
        <v>133</v>
      </c>
      <c r="P256" s="19" t="s">
        <v>50</v>
      </c>
      <c r="Q256" s="20" t="s">
        <v>134</v>
      </c>
      <c r="R256" s="21" t="s">
        <v>35</v>
      </c>
      <c r="S256" s="22" t="s">
        <v>36</v>
      </c>
      <c r="T256" s="23" t="s">
        <v>2784</v>
      </c>
      <c r="U256" s="44" t="str">
        <f>HYPERLINK("https://my.pitchbook.com?p=42955-12P", "View people online")</f>
        <v>View people online</v>
      </c>
    </row>
    <row r="257" spans="1:21" x14ac:dyDescent="0.3">
      <c r="A257" s="24" t="s">
        <v>2785</v>
      </c>
      <c r="B257" s="25" t="s">
        <v>2786</v>
      </c>
      <c r="C257" s="26" t="s">
        <v>722</v>
      </c>
      <c r="D257" s="27" t="s">
        <v>2777</v>
      </c>
      <c r="E257" s="28" t="s">
        <v>2712</v>
      </c>
      <c r="F257" s="29" t="s">
        <v>2787</v>
      </c>
      <c r="G257" s="30" t="s">
        <v>36</v>
      </c>
      <c r="H257" s="31">
        <v>2</v>
      </c>
      <c r="I257" s="32" t="s">
        <v>36</v>
      </c>
      <c r="J257" s="33" t="s">
        <v>2788</v>
      </c>
      <c r="K257" s="34" t="s">
        <v>2789</v>
      </c>
      <c r="L257" s="35" t="s">
        <v>224</v>
      </c>
      <c r="M257" s="36" t="s">
        <v>357</v>
      </c>
      <c r="N257" s="37" t="s">
        <v>358</v>
      </c>
      <c r="O257" s="38" t="s">
        <v>226</v>
      </c>
      <c r="P257" s="39" t="s">
        <v>50</v>
      </c>
      <c r="Q257" s="40" t="s">
        <v>359</v>
      </c>
      <c r="R257" s="41" t="s">
        <v>35</v>
      </c>
      <c r="S257" s="42" t="s">
        <v>36</v>
      </c>
      <c r="T257" s="43" t="s">
        <v>2790</v>
      </c>
      <c r="U257" s="45" t="str">
        <f>HYPERLINK("https://my.pitchbook.com?p=91018-81P", "View people online")</f>
        <v>View people online</v>
      </c>
    </row>
    <row r="258" spans="1:21" x14ac:dyDescent="0.3">
      <c r="A258" s="4" t="s">
        <v>2791</v>
      </c>
      <c r="B258" s="5" t="s">
        <v>2792</v>
      </c>
      <c r="C258" s="6" t="s">
        <v>2793</v>
      </c>
      <c r="D258" s="7" t="s">
        <v>2777</v>
      </c>
      <c r="E258" s="8" t="s">
        <v>2415</v>
      </c>
      <c r="F258" s="9" t="s">
        <v>2794</v>
      </c>
      <c r="G258" s="10">
        <v>1</v>
      </c>
      <c r="H258" s="11">
        <v>2</v>
      </c>
      <c r="I258" s="12" t="s">
        <v>36</v>
      </c>
      <c r="J258" s="13" t="s">
        <v>36</v>
      </c>
      <c r="K258" s="14" t="s">
        <v>36</v>
      </c>
      <c r="L258" s="15" t="s">
        <v>1097</v>
      </c>
      <c r="M258" s="16" t="s">
        <v>2795</v>
      </c>
      <c r="N258" s="17" t="s">
        <v>36</v>
      </c>
      <c r="O258" s="18" t="s">
        <v>1099</v>
      </c>
      <c r="P258" s="19" t="s">
        <v>1100</v>
      </c>
      <c r="Q258" s="20" t="s">
        <v>2796</v>
      </c>
      <c r="R258" s="21" t="s">
        <v>35</v>
      </c>
      <c r="S258" s="22" t="s">
        <v>36</v>
      </c>
      <c r="T258" s="23" t="s">
        <v>2797</v>
      </c>
      <c r="U258" s="44" t="str">
        <f>HYPERLINK("https://my.pitchbook.com?p=62551-45P", "View people online")</f>
        <v>View people online</v>
      </c>
    </row>
    <row r="259" spans="1:21" x14ac:dyDescent="0.3">
      <c r="A259" s="24" t="s">
        <v>2798</v>
      </c>
      <c r="B259" s="25" t="s">
        <v>2799</v>
      </c>
      <c r="C259" s="26" t="s">
        <v>2800</v>
      </c>
      <c r="D259" s="27" t="s">
        <v>2777</v>
      </c>
      <c r="E259" s="28" t="s">
        <v>2801</v>
      </c>
      <c r="F259" s="29" t="s">
        <v>2802</v>
      </c>
      <c r="G259" s="30">
        <v>2</v>
      </c>
      <c r="H259" s="31">
        <v>2</v>
      </c>
      <c r="I259" s="32" t="s">
        <v>36</v>
      </c>
      <c r="J259" s="33" t="s">
        <v>2803</v>
      </c>
      <c r="K259" s="34" t="s">
        <v>2804</v>
      </c>
      <c r="L259" s="35" t="s">
        <v>2805</v>
      </c>
      <c r="M259" s="36" t="s">
        <v>2806</v>
      </c>
      <c r="N259" s="37" t="s">
        <v>2807</v>
      </c>
      <c r="O259" s="38" t="s">
        <v>2808</v>
      </c>
      <c r="P259" s="39" t="s">
        <v>682</v>
      </c>
      <c r="Q259" s="40" t="s">
        <v>2809</v>
      </c>
      <c r="R259" s="41" t="s">
        <v>35</v>
      </c>
      <c r="S259" s="42" t="s">
        <v>36</v>
      </c>
      <c r="T259" s="43" t="s">
        <v>2810</v>
      </c>
      <c r="U259" s="45" t="str">
        <f>HYPERLINK("https://my.pitchbook.com?p=106732-09P", "View people online")</f>
        <v>View people online</v>
      </c>
    </row>
    <row r="260" spans="1:21" x14ac:dyDescent="0.3">
      <c r="A260" s="4" t="s">
        <v>2811</v>
      </c>
      <c r="B260" s="5" t="s">
        <v>2812</v>
      </c>
      <c r="C260" s="6" t="s">
        <v>2263</v>
      </c>
      <c r="D260" s="7" t="s">
        <v>2813</v>
      </c>
      <c r="E260" s="8" t="s">
        <v>2814</v>
      </c>
      <c r="F260" s="9" t="s">
        <v>2815</v>
      </c>
      <c r="G260" s="10" t="s">
        <v>36</v>
      </c>
      <c r="H260" s="11">
        <v>2</v>
      </c>
      <c r="I260" s="12" t="s">
        <v>36</v>
      </c>
      <c r="J260" s="13" t="s">
        <v>2816</v>
      </c>
      <c r="K260" s="14" t="s">
        <v>2817</v>
      </c>
      <c r="L260" s="15" t="s">
        <v>210</v>
      </c>
      <c r="M260" s="16" t="s">
        <v>2818</v>
      </c>
      <c r="N260" s="17" t="s">
        <v>1926</v>
      </c>
      <c r="O260" s="18" t="s">
        <v>213</v>
      </c>
      <c r="P260" s="19" t="s">
        <v>50</v>
      </c>
      <c r="Q260" s="20" t="s">
        <v>2819</v>
      </c>
      <c r="R260" s="21" t="s">
        <v>35</v>
      </c>
      <c r="S260" s="22" t="s">
        <v>36</v>
      </c>
      <c r="T260" s="23" t="s">
        <v>2820</v>
      </c>
      <c r="U260" s="44" t="str">
        <f>HYPERLINK("https://my.pitchbook.com?p=46850-95P", "View people online")</f>
        <v>View people online</v>
      </c>
    </row>
    <row r="261" spans="1:21" x14ac:dyDescent="0.3">
      <c r="A261" s="24" t="s">
        <v>2821</v>
      </c>
      <c r="B261" s="25" t="s">
        <v>2822</v>
      </c>
      <c r="C261" s="26" t="s">
        <v>2823</v>
      </c>
      <c r="D261" s="27" t="s">
        <v>2824</v>
      </c>
      <c r="E261" s="28" t="s">
        <v>2825</v>
      </c>
      <c r="F261" s="29" t="s">
        <v>2826</v>
      </c>
      <c r="G261" s="30">
        <v>1</v>
      </c>
      <c r="H261" s="31">
        <v>2</v>
      </c>
      <c r="I261" s="32" t="s">
        <v>36</v>
      </c>
      <c r="J261" s="33" t="s">
        <v>2827</v>
      </c>
      <c r="K261" s="34" t="s">
        <v>36</v>
      </c>
      <c r="L261" s="35" t="s">
        <v>2828</v>
      </c>
      <c r="M261" s="36" t="s">
        <v>2829</v>
      </c>
      <c r="N261" s="37" t="s">
        <v>903</v>
      </c>
      <c r="O261" s="38" t="s">
        <v>2830</v>
      </c>
      <c r="P261" s="39" t="s">
        <v>516</v>
      </c>
      <c r="Q261" s="40" t="s">
        <v>2831</v>
      </c>
      <c r="R261" s="41" t="s">
        <v>35</v>
      </c>
      <c r="S261" s="42" t="s">
        <v>36</v>
      </c>
      <c r="T261" s="43" t="s">
        <v>2832</v>
      </c>
      <c r="U261" s="45" t="str">
        <f>HYPERLINK("https://my.pitchbook.com?p=99671-86P", "View people online")</f>
        <v>View people online</v>
      </c>
    </row>
    <row r="262" spans="1:21" x14ac:dyDescent="0.3">
      <c r="A262" s="4" t="s">
        <v>2833</v>
      </c>
      <c r="B262" s="5" t="s">
        <v>2834</v>
      </c>
      <c r="C262" s="6" t="s">
        <v>2835</v>
      </c>
      <c r="D262" s="7" t="s">
        <v>2824</v>
      </c>
      <c r="E262" s="8" t="s">
        <v>2836</v>
      </c>
      <c r="F262" s="9" t="s">
        <v>2837</v>
      </c>
      <c r="G262" s="10" t="s">
        <v>36</v>
      </c>
      <c r="H262" s="11">
        <v>2</v>
      </c>
      <c r="I262" s="12" t="s">
        <v>36</v>
      </c>
      <c r="J262" s="13" t="s">
        <v>2838</v>
      </c>
      <c r="K262" s="14" t="s">
        <v>2839</v>
      </c>
      <c r="L262" s="15" t="s">
        <v>183</v>
      </c>
      <c r="M262" s="16" t="s">
        <v>2840</v>
      </c>
      <c r="N262" s="17" t="s">
        <v>1060</v>
      </c>
      <c r="O262" s="18" t="s">
        <v>186</v>
      </c>
      <c r="P262" s="19" t="s">
        <v>50</v>
      </c>
      <c r="Q262" s="20" t="s">
        <v>718</v>
      </c>
      <c r="R262" s="21" t="s">
        <v>35</v>
      </c>
      <c r="S262" s="22" t="s">
        <v>36</v>
      </c>
      <c r="T262" s="23" t="s">
        <v>2841</v>
      </c>
      <c r="U262" s="44" t="str">
        <f>HYPERLINK("https://my.pitchbook.com?p=43540-66P", "View people online")</f>
        <v>View people online</v>
      </c>
    </row>
    <row r="263" spans="1:21" x14ac:dyDescent="0.3">
      <c r="A263" s="24" t="s">
        <v>2842</v>
      </c>
      <c r="B263" s="25" t="s">
        <v>2843</v>
      </c>
      <c r="C263" s="26" t="s">
        <v>2844</v>
      </c>
      <c r="D263" s="27" t="s">
        <v>2845</v>
      </c>
      <c r="E263" s="28" t="s">
        <v>2446</v>
      </c>
      <c r="F263" s="29" t="s">
        <v>2846</v>
      </c>
      <c r="G263" s="30" t="s">
        <v>36</v>
      </c>
      <c r="H263" s="31">
        <v>2</v>
      </c>
      <c r="I263" s="32" t="s">
        <v>36</v>
      </c>
      <c r="J263" s="33" t="s">
        <v>36</v>
      </c>
      <c r="K263" s="34" t="s">
        <v>36</v>
      </c>
      <c r="L263" s="35" t="s">
        <v>224</v>
      </c>
      <c r="M263" s="36" t="s">
        <v>36</v>
      </c>
      <c r="N263" s="37" t="s">
        <v>36</v>
      </c>
      <c r="O263" s="38" t="s">
        <v>226</v>
      </c>
      <c r="P263" s="39" t="s">
        <v>50</v>
      </c>
      <c r="Q263" s="40" t="s">
        <v>227</v>
      </c>
      <c r="R263" s="41" t="s">
        <v>35</v>
      </c>
      <c r="S263" s="42" t="s">
        <v>36</v>
      </c>
      <c r="T263" s="43" t="s">
        <v>2847</v>
      </c>
      <c r="U263" s="45" t="str">
        <f>HYPERLINK("https://my.pitchbook.com?p=40209-58P", "View people online")</f>
        <v>View people online</v>
      </c>
    </row>
    <row r="264" spans="1:21" x14ac:dyDescent="0.3">
      <c r="A264" s="4" t="s">
        <v>2848</v>
      </c>
      <c r="B264" s="5" t="s">
        <v>2849</v>
      </c>
      <c r="C264" s="6" t="s">
        <v>2850</v>
      </c>
      <c r="D264" s="7" t="s">
        <v>193</v>
      </c>
      <c r="E264" s="8" t="s">
        <v>438</v>
      </c>
      <c r="F264" s="9" t="s">
        <v>2851</v>
      </c>
      <c r="G264" s="10">
        <v>1</v>
      </c>
      <c r="H264" s="11">
        <v>2</v>
      </c>
      <c r="I264" s="12">
        <v>1</v>
      </c>
      <c r="J264" s="13" t="s">
        <v>36</v>
      </c>
      <c r="K264" s="14" t="s">
        <v>2852</v>
      </c>
      <c r="L264" s="15" t="s">
        <v>2853</v>
      </c>
      <c r="M264" s="16" t="s">
        <v>2854</v>
      </c>
      <c r="N264" s="17" t="s">
        <v>2855</v>
      </c>
      <c r="O264" s="18" t="s">
        <v>2856</v>
      </c>
      <c r="P264" s="19" t="s">
        <v>50</v>
      </c>
      <c r="Q264" s="20" t="s">
        <v>2857</v>
      </c>
      <c r="R264" s="21" t="s">
        <v>35</v>
      </c>
      <c r="S264" s="22" t="s">
        <v>36</v>
      </c>
      <c r="T264" s="23" t="s">
        <v>2858</v>
      </c>
      <c r="U264" s="44" t="str">
        <f>HYPERLINK("https://my.pitchbook.com?p=160026-76P", "View people online")</f>
        <v>View people online</v>
      </c>
    </row>
    <row r="265" spans="1:21" x14ac:dyDescent="0.3">
      <c r="A265" s="24" t="s">
        <v>2859</v>
      </c>
      <c r="B265" s="25" t="s">
        <v>2860</v>
      </c>
      <c r="C265" s="26" t="s">
        <v>2861</v>
      </c>
      <c r="D265" s="27" t="s">
        <v>193</v>
      </c>
      <c r="E265" s="28" t="s">
        <v>2862</v>
      </c>
      <c r="F265" s="29" t="s">
        <v>2863</v>
      </c>
      <c r="G265" s="30" t="s">
        <v>36</v>
      </c>
      <c r="H265" s="31">
        <v>2</v>
      </c>
      <c r="I265" s="32" t="s">
        <v>36</v>
      </c>
      <c r="J265" s="33" t="s">
        <v>2864</v>
      </c>
      <c r="K265" s="34" t="s">
        <v>36</v>
      </c>
      <c r="L265" s="35" t="s">
        <v>2103</v>
      </c>
      <c r="M265" s="36" t="s">
        <v>2865</v>
      </c>
      <c r="N265" s="37" t="s">
        <v>2866</v>
      </c>
      <c r="O265" s="38" t="s">
        <v>2105</v>
      </c>
      <c r="P265" s="39" t="s">
        <v>1115</v>
      </c>
      <c r="Q265" s="40" t="s">
        <v>2867</v>
      </c>
      <c r="R265" s="41" t="s">
        <v>35</v>
      </c>
      <c r="S265" s="42" t="s">
        <v>36</v>
      </c>
      <c r="T265" s="43" t="s">
        <v>2868</v>
      </c>
      <c r="U265" s="45" t="str">
        <f>HYPERLINK("https://my.pitchbook.com?p=43059-70P", "View people online")</f>
        <v>View people online</v>
      </c>
    </row>
    <row r="266" spans="1:21" x14ac:dyDescent="0.3">
      <c r="A266" s="4" t="s">
        <v>2869</v>
      </c>
      <c r="B266" s="5" t="s">
        <v>2870</v>
      </c>
      <c r="C266" s="6" t="s">
        <v>2871</v>
      </c>
      <c r="D266" s="7" t="s">
        <v>193</v>
      </c>
      <c r="E266" s="8" t="s">
        <v>1912</v>
      </c>
      <c r="F266" s="9" t="s">
        <v>2872</v>
      </c>
      <c r="G266" s="10" t="s">
        <v>36</v>
      </c>
      <c r="H266" s="11">
        <v>2</v>
      </c>
      <c r="I266" s="12" t="s">
        <v>36</v>
      </c>
      <c r="J266" s="13" t="s">
        <v>2873</v>
      </c>
      <c r="K266" s="14" t="s">
        <v>2874</v>
      </c>
      <c r="L266" s="15" t="s">
        <v>157</v>
      </c>
      <c r="M266" s="16" t="s">
        <v>2875</v>
      </c>
      <c r="N266" s="17" t="s">
        <v>2218</v>
      </c>
      <c r="O266" s="18" t="s">
        <v>159</v>
      </c>
      <c r="P266" s="19" t="s">
        <v>50</v>
      </c>
      <c r="Q266" s="20" t="s">
        <v>160</v>
      </c>
      <c r="R266" s="21" t="s">
        <v>35</v>
      </c>
      <c r="S266" s="22" t="s">
        <v>36</v>
      </c>
      <c r="T266" s="23" t="s">
        <v>2876</v>
      </c>
      <c r="U266" s="44" t="str">
        <f>HYPERLINK("https://my.pitchbook.com?p=102313-63P", "View people online")</f>
        <v>View people online</v>
      </c>
    </row>
    <row r="267" spans="1:21" x14ac:dyDescent="0.3">
      <c r="A267" s="24" t="s">
        <v>2877</v>
      </c>
      <c r="B267" s="25" t="s">
        <v>2878</v>
      </c>
      <c r="C267" s="26" t="s">
        <v>2879</v>
      </c>
      <c r="D267" s="27" t="s">
        <v>193</v>
      </c>
      <c r="E267" s="28" t="s">
        <v>2880</v>
      </c>
      <c r="F267" s="29" t="s">
        <v>2881</v>
      </c>
      <c r="G267" s="30">
        <v>2</v>
      </c>
      <c r="H267" s="31">
        <v>2</v>
      </c>
      <c r="I267" s="32" t="s">
        <v>36</v>
      </c>
      <c r="J267" s="33" t="s">
        <v>2882</v>
      </c>
      <c r="K267" s="34" t="s">
        <v>2883</v>
      </c>
      <c r="L267" s="35" t="s">
        <v>2884</v>
      </c>
      <c r="M267" s="36" t="s">
        <v>2885</v>
      </c>
      <c r="N267" s="37" t="s">
        <v>2886</v>
      </c>
      <c r="O267" s="38" t="s">
        <v>2887</v>
      </c>
      <c r="P267" s="39" t="s">
        <v>1140</v>
      </c>
      <c r="Q267" s="40" t="s">
        <v>2888</v>
      </c>
      <c r="R267" s="41" t="s">
        <v>35</v>
      </c>
      <c r="S267" s="42" t="s">
        <v>36</v>
      </c>
      <c r="T267" s="43" t="s">
        <v>2889</v>
      </c>
      <c r="U267" s="45" t="str">
        <f>HYPERLINK("https://my.pitchbook.com?p=55530-37P", "View people online")</f>
        <v>View people online</v>
      </c>
    </row>
    <row r="268" spans="1:21" x14ac:dyDescent="0.3">
      <c r="A268" s="4" t="s">
        <v>2890</v>
      </c>
      <c r="B268" s="5" t="s">
        <v>2891</v>
      </c>
      <c r="C268" s="6" t="s">
        <v>2892</v>
      </c>
      <c r="D268" s="7" t="s">
        <v>193</v>
      </c>
      <c r="E268" s="8" t="s">
        <v>179</v>
      </c>
      <c r="F268" s="9" t="s">
        <v>2893</v>
      </c>
      <c r="G268" s="10">
        <v>1</v>
      </c>
      <c r="H268" s="11">
        <v>2</v>
      </c>
      <c r="I268" s="12" t="s">
        <v>36</v>
      </c>
      <c r="J268" s="13" t="s">
        <v>2894</v>
      </c>
      <c r="K268" s="14" t="s">
        <v>2895</v>
      </c>
      <c r="L268" s="15" t="s">
        <v>1404</v>
      </c>
      <c r="M268" s="16" t="s">
        <v>2896</v>
      </c>
      <c r="N268" s="17" t="s">
        <v>36</v>
      </c>
      <c r="O268" s="18" t="s">
        <v>1407</v>
      </c>
      <c r="P268" s="19" t="s">
        <v>50</v>
      </c>
      <c r="Q268" s="20" t="s">
        <v>1417</v>
      </c>
      <c r="R268" s="21" t="s">
        <v>35</v>
      </c>
      <c r="S268" s="22" t="s">
        <v>36</v>
      </c>
      <c r="T268" s="23" t="s">
        <v>2897</v>
      </c>
      <c r="U268" s="44" t="str">
        <f>HYPERLINK("https://my.pitchbook.com?p=119680-21P", "View people online")</f>
        <v>View people online</v>
      </c>
    </row>
    <row r="269" spans="1:21" x14ac:dyDescent="0.3">
      <c r="A269" s="24" t="s">
        <v>2898</v>
      </c>
      <c r="B269" s="25" t="s">
        <v>2899</v>
      </c>
      <c r="C269" s="26" t="s">
        <v>2900</v>
      </c>
      <c r="D269" s="27" t="s">
        <v>654</v>
      </c>
      <c r="E269" s="28" t="s">
        <v>128</v>
      </c>
      <c r="F269" s="29" t="s">
        <v>2901</v>
      </c>
      <c r="G269" s="30" t="s">
        <v>36</v>
      </c>
      <c r="H269" s="31">
        <v>2</v>
      </c>
      <c r="I269" s="32" t="s">
        <v>36</v>
      </c>
      <c r="J269" s="33" t="s">
        <v>2902</v>
      </c>
      <c r="K269" s="34" t="s">
        <v>2903</v>
      </c>
      <c r="L269" s="35" t="s">
        <v>2904</v>
      </c>
      <c r="M269" s="36" t="s">
        <v>2905</v>
      </c>
      <c r="N269" s="37" t="s">
        <v>2906</v>
      </c>
      <c r="O269" s="38" t="s">
        <v>2907</v>
      </c>
      <c r="P269" s="39" t="s">
        <v>50</v>
      </c>
      <c r="Q269" s="40" t="s">
        <v>2908</v>
      </c>
      <c r="R269" s="41" t="s">
        <v>35</v>
      </c>
      <c r="S269" s="42" t="s">
        <v>36</v>
      </c>
      <c r="T269" s="43" t="s">
        <v>2909</v>
      </c>
      <c r="U269" s="45" t="str">
        <f>HYPERLINK("https://my.pitchbook.com?p=46730-08P", "View people online")</f>
        <v>View people online</v>
      </c>
    </row>
    <row r="270" spans="1:21" x14ac:dyDescent="0.3">
      <c r="A270" s="4" t="s">
        <v>2910</v>
      </c>
      <c r="B270" s="5" t="s">
        <v>2911</v>
      </c>
      <c r="C270" s="6" t="s">
        <v>2912</v>
      </c>
      <c r="D270" s="7" t="s">
        <v>2913</v>
      </c>
      <c r="E270" s="8" t="s">
        <v>314</v>
      </c>
      <c r="F270" s="9" t="s">
        <v>2914</v>
      </c>
      <c r="G270" s="10">
        <v>1</v>
      </c>
      <c r="H270" s="11">
        <v>2</v>
      </c>
      <c r="I270" s="12">
        <v>1</v>
      </c>
      <c r="J270" s="13" t="s">
        <v>2915</v>
      </c>
      <c r="K270" s="14" t="s">
        <v>2916</v>
      </c>
      <c r="L270" s="15" t="s">
        <v>1404</v>
      </c>
      <c r="M270" s="16" t="s">
        <v>2917</v>
      </c>
      <c r="N270" s="17" t="s">
        <v>2918</v>
      </c>
      <c r="O270" s="18" t="s">
        <v>1407</v>
      </c>
      <c r="P270" s="19" t="s">
        <v>50</v>
      </c>
      <c r="Q270" s="20" t="s">
        <v>2919</v>
      </c>
      <c r="R270" s="21" t="s">
        <v>35</v>
      </c>
      <c r="S270" s="22" t="s">
        <v>36</v>
      </c>
      <c r="T270" s="23" t="s">
        <v>2920</v>
      </c>
      <c r="U270" s="44" t="str">
        <f>HYPERLINK("https://my.pitchbook.com?p=104740-75P", "View people online")</f>
        <v>View people online</v>
      </c>
    </row>
    <row r="271" spans="1:21" x14ac:dyDescent="0.3">
      <c r="A271" s="24" t="s">
        <v>2921</v>
      </c>
      <c r="B271" s="25" t="s">
        <v>2922</v>
      </c>
      <c r="C271" s="26" t="s">
        <v>2923</v>
      </c>
      <c r="D271" s="27" t="s">
        <v>2924</v>
      </c>
      <c r="E271" s="28" t="s">
        <v>2925</v>
      </c>
      <c r="F271" s="29" t="s">
        <v>2926</v>
      </c>
      <c r="G271" s="30" t="s">
        <v>36</v>
      </c>
      <c r="H271" s="31">
        <v>2</v>
      </c>
      <c r="I271" s="32" t="s">
        <v>36</v>
      </c>
      <c r="J271" s="33" t="s">
        <v>36</v>
      </c>
      <c r="K271" s="34" t="s">
        <v>2927</v>
      </c>
      <c r="L271" s="35" t="s">
        <v>224</v>
      </c>
      <c r="M271" s="36" t="s">
        <v>36</v>
      </c>
      <c r="N271" s="37" t="s">
        <v>36</v>
      </c>
      <c r="O271" s="38" t="s">
        <v>226</v>
      </c>
      <c r="P271" s="39" t="s">
        <v>50</v>
      </c>
      <c r="Q271" s="40" t="s">
        <v>36</v>
      </c>
      <c r="R271" s="41" t="s">
        <v>35</v>
      </c>
      <c r="S271" s="42" t="s">
        <v>36</v>
      </c>
      <c r="T271" s="43" t="s">
        <v>2928</v>
      </c>
      <c r="U271" s="45" t="str">
        <f>HYPERLINK("https://my.pitchbook.com?p=63119-44P", "View people online")</f>
        <v>View people online</v>
      </c>
    </row>
    <row r="272" spans="1:21" x14ac:dyDescent="0.3">
      <c r="A272" s="4" t="s">
        <v>2929</v>
      </c>
      <c r="B272" s="5" t="s">
        <v>2930</v>
      </c>
      <c r="C272" s="6" t="s">
        <v>813</v>
      </c>
      <c r="D272" s="7" t="s">
        <v>2931</v>
      </c>
      <c r="E272" s="8" t="s">
        <v>179</v>
      </c>
      <c r="F272" s="9" t="s">
        <v>2932</v>
      </c>
      <c r="G272" s="10" t="s">
        <v>36</v>
      </c>
      <c r="H272" s="11">
        <v>2</v>
      </c>
      <c r="I272" s="12" t="s">
        <v>36</v>
      </c>
      <c r="J272" s="13" t="s">
        <v>2933</v>
      </c>
      <c r="K272" s="14" t="s">
        <v>2934</v>
      </c>
      <c r="L272" s="15" t="s">
        <v>2935</v>
      </c>
      <c r="M272" s="16" t="s">
        <v>2936</v>
      </c>
      <c r="N272" s="17" t="s">
        <v>2937</v>
      </c>
      <c r="O272" s="18" t="s">
        <v>2938</v>
      </c>
      <c r="P272" s="19" t="s">
        <v>1140</v>
      </c>
      <c r="Q272" s="20" t="s">
        <v>2939</v>
      </c>
      <c r="R272" s="21" t="s">
        <v>35</v>
      </c>
      <c r="S272" s="22" t="s">
        <v>36</v>
      </c>
      <c r="T272" s="23" t="s">
        <v>2940</v>
      </c>
      <c r="U272" s="44" t="str">
        <f>HYPERLINK("https://my.pitchbook.com?p=152443-63P", "View people online")</f>
        <v>View people online</v>
      </c>
    </row>
    <row r="273" spans="1:21" x14ac:dyDescent="0.3">
      <c r="A273" s="24" t="s">
        <v>2941</v>
      </c>
      <c r="B273" s="25" t="s">
        <v>2942</v>
      </c>
      <c r="C273" s="26" t="s">
        <v>2943</v>
      </c>
      <c r="D273" s="27" t="s">
        <v>2944</v>
      </c>
      <c r="E273" s="28" t="s">
        <v>449</v>
      </c>
      <c r="F273" s="29" t="s">
        <v>2945</v>
      </c>
      <c r="G273" s="30">
        <v>1</v>
      </c>
      <c r="H273" s="31">
        <v>2</v>
      </c>
      <c r="I273" s="32" t="s">
        <v>36</v>
      </c>
      <c r="J273" s="33" t="s">
        <v>2946</v>
      </c>
      <c r="K273" s="34" t="s">
        <v>36</v>
      </c>
      <c r="L273" s="35" t="s">
        <v>2947</v>
      </c>
      <c r="M273" s="36" t="s">
        <v>2948</v>
      </c>
      <c r="N273" s="37" t="s">
        <v>36</v>
      </c>
      <c r="O273" s="38" t="s">
        <v>2949</v>
      </c>
      <c r="P273" s="39" t="s">
        <v>50</v>
      </c>
      <c r="Q273" s="40" t="s">
        <v>638</v>
      </c>
      <c r="R273" s="41" t="s">
        <v>35</v>
      </c>
      <c r="S273" s="42" t="s">
        <v>2950</v>
      </c>
      <c r="T273" s="43" t="s">
        <v>2951</v>
      </c>
      <c r="U273" s="45" t="str">
        <f>HYPERLINK("https://my.pitchbook.com?p=85053-16P", "View people online")</f>
        <v>View people online</v>
      </c>
    </row>
    <row r="274" spans="1:21" x14ac:dyDescent="0.3">
      <c r="A274" s="4" t="s">
        <v>2952</v>
      </c>
      <c r="B274" s="5" t="s">
        <v>2953</v>
      </c>
      <c r="C274" s="6" t="s">
        <v>590</v>
      </c>
      <c r="D274" s="7" t="s">
        <v>2954</v>
      </c>
      <c r="E274" s="8" t="s">
        <v>1431</v>
      </c>
      <c r="F274" s="9" t="s">
        <v>2955</v>
      </c>
      <c r="G274" s="10">
        <v>1</v>
      </c>
      <c r="H274" s="11">
        <v>2</v>
      </c>
      <c r="I274" s="12" t="s">
        <v>36</v>
      </c>
      <c r="J274" s="13" t="s">
        <v>2956</v>
      </c>
      <c r="K274" s="14" t="s">
        <v>2957</v>
      </c>
      <c r="L274" s="15" t="s">
        <v>2958</v>
      </c>
      <c r="M274" s="16" t="s">
        <v>2959</v>
      </c>
      <c r="N274" s="17" t="s">
        <v>2960</v>
      </c>
      <c r="O274" s="18" t="s">
        <v>2961</v>
      </c>
      <c r="P274" s="19" t="s">
        <v>2962</v>
      </c>
      <c r="Q274" s="20" t="s">
        <v>2963</v>
      </c>
      <c r="R274" s="21" t="s">
        <v>35</v>
      </c>
      <c r="S274" s="22" t="s">
        <v>36</v>
      </c>
      <c r="T274" s="23" t="s">
        <v>2964</v>
      </c>
      <c r="U274" s="44" t="str">
        <f>HYPERLINK("https://my.pitchbook.com?p=46251-10P", "View people online")</f>
        <v>View people online</v>
      </c>
    </row>
    <row r="275" spans="1:21" x14ac:dyDescent="0.3">
      <c r="A275" s="24" t="s">
        <v>2965</v>
      </c>
      <c r="B275" s="25" t="s">
        <v>2966</v>
      </c>
      <c r="C275" s="26" t="s">
        <v>2967</v>
      </c>
      <c r="D275" s="27" t="s">
        <v>2968</v>
      </c>
      <c r="E275" s="28" t="s">
        <v>2969</v>
      </c>
      <c r="F275" s="29" t="s">
        <v>2970</v>
      </c>
      <c r="G275" s="30" t="s">
        <v>36</v>
      </c>
      <c r="H275" s="31">
        <v>2</v>
      </c>
      <c r="I275" s="32" t="s">
        <v>36</v>
      </c>
      <c r="J275" s="33" t="s">
        <v>2971</v>
      </c>
      <c r="K275" s="34" t="s">
        <v>2972</v>
      </c>
      <c r="L275" s="35" t="s">
        <v>183</v>
      </c>
      <c r="M275" s="36" t="s">
        <v>2973</v>
      </c>
      <c r="N275" s="37" t="s">
        <v>36</v>
      </c>
      <c r="O275" s="38" t="s">
        <v>186</v>
      </c>
      <c r="P275" s="39" t="s">
        <v>50</v>
      </c>
      <c r="Q275" s="40" t="s">
        <v>2974</v>
      </c>
      <c r="R275" s="41" t="s">
        <v>35</v>
      </c>
      <c r="S275" s="42" t="s">
        <v>36</v>
      </c>
      <c r="T275" s="43" t="s">
        <v>2975</v>
      </c>
      <c r="U275" s="45" t="str">
        <f>HYPERLINK("https://my.pitchbook.com?p=101559-34P", "View people online")</f>
        <v>View people online</v>
      </c>
    </row>
    <row r="276" spans="1:21" x14ac:dyDescent="0.3">
      <c r="A276" s="4" t="s">
        <v>2976</v>
      </c>
      <c r="B276" s="5" t="s">
        <v>2977</v>
      </c>
      <c r="C276" s="6" t="s">
        <v>2978</v>
      </c>
      <c r="D276" s="7" t="s">
        <v>2979</v>
      </c>
      <c r="E276" s="8" t="s">
        <v>2980</v>
      </c>
      <c r="F276" s="9" t="s">
        <v>2981</v>
      </c>
      <c r="G276" s="10">
        <v>1</v>
      </c>
      <c r="H276" s="11">
        <v>2</v>
      </c>
      <c r="I276" s="12" t="s">
        <v>36</v>
      </c>
      <c r="J276" s="13" t="s">
        <v>36</v>
      </c>
      <c r="K276" s="14" t="s">
        <v>2982</v>
      </c>
      <c r="L276" s="15" t="s">
        <v>2983</v>
      </c>
      <c r="M276" s="16" t="s">
        <v>2984</v>
      </c>
      <c r="N276" s="17" t="s">
        <v>36</v>
      </c>
      <c r="O276" s="18" t="s">
        <v>2985</v>
      </c>
      <c r="P276" s="19" t="s">
        <v>36</v>
      </c>
      <c r="Q276" s="20" t="s">
        <v>36</v>
      </c>
      <c r="R276" s="21" t="s">
        <v>2986</v>
      </c>
      <c r="S276" s="22" t="s">
        <v>36</v>
      </c>
      <c r="T276" s="23" t="s">
        <v>2987</v>
      </c>
      <c r="U276" s="44" t="str">
        <f>HYPERLINK("https://my.pitchbook.com?p=111138-49P", "View people online")</f>
        <v>View people online</v>
      </c>
    </row>
    <row r="277" spans="1:21" x14ac:dyDescent="0.3">
      <c r="A277" s="24" t="s">
        <v>2988</v>
      </c>
      <c r="B277" s="25" t="s">
        <v>2989</v>
      </c>
      <c r="C277" s="26" t="s">
        <v>2990</v>
      </c>
      <c r="D277" s="27" t="s">
        <v>2991</v>
      </c>
      <c r="E277" s="28" t="s">
        <v>86</v>
      </c>
      <c r="F277" s="29" t="s">
        <v>2992</v>
      </c>
      <c r="G277" s="30" t="s">
        <v>36</v>
      </c>
      <c r="H277" s="31">
        <v>2</v>
      </c>
      <c r="I277" s="32" t="s">
        <v>36</v>
      </c>
      <c r="J277" s="33" t="s">
        <v>2993</v>
      </c>
      <c r="K277" s="34" t="s">
        <v>2994</v>
      </c>
      <c r="L277" s="35" t="s">
        <v>1479</v>
      </c>
      <c r="M277" s="36" t="s">
        <v>2995</v>
      </c>
      <c r="N277" s="37" t="s">
        <v>903</v>
      </c>
      <c r="O277" s="38" t="s">
        <v>1481</v>
      </c>
      <c r="P277" s="39" t="s">
        <v>50</v>
      </c>
      <c r="Q277" s="40" t="s">
        <v>1482</v>
      </c>
      <c r="R277" s="41" t="s">
        <v>35</v>
      </c>
      <c r="S277" s="42" t="s">
        <v>36</v>
      </c>
      <c r="T277" s="43" t="s">
        <v>2996</v>
      </c>
      <c r="U277" s="45" t="str">
        <f>HYPERLINK("https://my.pitchbook.com?p=65943-46P", "View people online")</f>
        <v>View people online</v>
      </c>
    </row>
    <row r="278" spans="1:21" x14ac:dyDescent="0.3">
      <c r="A278" s="4" t="s">
        <v>2997</v>
      </c>
      <c r="B278" s="5" t="s">
        <v>2998</v>
      </c>
      <c r="C278" s="6" t="s">
        <v>2620</v>
      </c>
      <c r="D278" s="7" t="s">
        <v>2999</v>
      </c>
      <c r="E278" s="8" t="s">
        <v>3000</v>
      </c>
      <c r="F278" s="9" t="s">
        <v>3001</v>
      </c>
      <c r="G278" s="10" t="s">
        <v>36</v>
      </c>
      <c r="H278" s="11">
        <v>2</v>
      </c>
      <c r="I278" s="12">
        <v>1</v>
      </c>
      <c r="J278" s="13" t="s">
        <v>3002</v>
      </c>
      <c r="K278" s="14" t="s">
        <v>3003</v>
      </c>
      <c r="L278" s="15" t="s">
        <v>183</v>
      </c>
      <c r="M278" s="16" t="s">
        <v>3004</v>
      </c>
      <c r="N278" s="17" t="s">
        <v>36</v>
      </c>
      <c r="O278" s="18" t="s">
        <v>186</v>
      </c>
      <c r="P278" s="19" t="s">
        <v>50</v>
      </c>
      <c r="Q278" s="20" t="s">
        <v>266</v>
      </c>
      <c r="R278" s="21" t="s">
        <v>35</v>
      </c>
      <c r="S278" s="22" t="s">
        <v>36</v>
      </c>
      <c r="T278" s="23" t="s">
        <v>3005</v>
      </c>
      <c r="U278" s="44" t="str">
        <f>HYPERLINK("https://my.pitchbook.com?p=101994-94P", "View people online")</f>
        <v>View people online</v>
      </c>
    </row>
    <row r="279" spans="1:21" x14ac:dyDescent="0.3">
      <c r="A279" s="24" t="s">
        <v>3006</v>
      </c>
      <c r="B279" s="25" t="s">
        <v>3007</v>
      </c>
      <c r="C279" s="26" t="s">
        <v>3008</v>
      </c>
      <c r="D279" s="27" t="s">
        <v>3009</v>
      </c>
      <c r="E279" s="28" t="s">
        <v>2661</v>
      </c>
      <c r="F279" s="29" t="s">
        <v>3010</v>
      </c>
      <c r="G279" s="30">
        <v>1</v>
      </c>
      <c r="H279" s="31">
        <v>2</v>
      </c>
      <c r="I279" s="32">
        <v>1</v>
      </c>
      <c r="J279" s="33" t="s">
        <v>3011</v>
      </c>
      <c r="K279" s="34" t="s">
        <v>3012</v>
      </c>
      <c r="L279" s="35" t="s">
        <v>1535</v>
      </c>
      <c r="M279" s="36" t="s">
        <v>3013</v>
      </c>
      <c r="N279" s="37" t="s">
        <v>3014</v>
      </c>
      <c r="O279" s="38" t="s">
        <v>1537</v>
      </c>
      <c r="P279" s="39" t="s">
        <v>1030</v>
      </c>
      <c r="Q279" s="40" t="s">
        <v>3015</v>
      </c>
      <c r="R279" s="41" t="s">
        <v>35</v>
      </c>
      <c r="S279" s="42" t="s">
        <v>36</v>
      </c>
      <c r="T279" s="43" t="s">
        <v>3016</v>
      </c>
      <c r="U279" s="45" t="str">
        <f>HYPERLINK("https://my.pitchbook.com?p=144083-26P", "View people online")</f>
        <v>View people online</v>
      </c>
    </row>
    <row r="280" spans="1:21" x14ac:dyDescent="0.3">
      <c r="A280" s="4" t="s">
        <v>3017</v>
      </c>
      <c r="B280" s="5" t="s">
        <v>3018</v>
      </c>
      <c r="C280" s="6" t="s">
        <v>3019</v>
      </c>
      <c r="D280" s="7" t="s">
        <v>3020</v>
      </c>
      <c r="E280" s="8" t="s">
        <v>3021</v>
      </c>
      <c r="F280" s="9" t="s">
        <v>3022</v>
      </c>
      <c r="G280" s="10" t="s">
        <v>36</v>
      </c>
      <c r="H280" s="11">
        <v>2</v>
      </c>
      <c r="I280" s="12" t="s">
        <v>36</v>
      </c>
      <c r="J280" s="13" t="s">
        <v>36</v>
      </c>
      <c r="K280" s="14" t="s">
        <v>3023</v>
      </c>
      <c r="L280" s="15" t="s">
        <v>1404</v>
      </c>
      <c r="M280" s="16" t="s">
        <v>3024</v>
      </c>
      <c r="N280" s="17" t="s">
        <v>36</v>
      </c>
      <c r="O280" s="18" t="s">
        <v>1407</v>
      </c>
      <c r="P280" s="19" t="s">
        <v>50</v>
      </c>
      <c r="Q280" s="20" t="s">
        <v>1417</v>
      </c>
      <c r="R280" s="21" t="s">
        <v>35</v>
      </c>
      <c r="S280" s="22" t="s">
        <v>36</v>
      </c>
      <c r="T280" s="23" t="s">
        <v>3025</v>
      </c>
      <c r="U280" s="44" t="str">
        <f>HYPERLINK("https://my.pitchbook.com?p=84842-65P", "View people online")</f>
        <v>View people online</v>
      </c>
    </row>
    <row r="281" spans="1:21" x14ac:dyDescent="0.3">
      <c r="A281" s="24" t="s">
        <v>3026</v>
      </c>
      <c r="B281" s="25" t="s">
        <v>3027</v>
      </c>
      <c r="C281" s="26" t="s">
        <v>3028</v>
      </c>
      <c r="D281" s="27" t="s">
        <v>3029</v>
      </c>
      <c r="E281" s="28" t="s">
        <v>3021</v>
      </c>
      <c r="F281" s="29" t="s">
        <v>3030</v>
      </c>
      <c r="G281" s="30" t="s">
        <v>36</v>
      </c>
      <c r="H281" s="31">
        <v>2</v>
      </c>
      <c r="I281" s="32" t="s">
        <v>36</v>
      </c>
      <c r="J281" s="33" t="s">
        <v>36</v>
      </c>
      <c r="K281" s="34" t="s">
        <v>3031</v>
      </c>
      <c r="L281" s="35" t="s">
        <v>3032</v>
      </c>
      <c r="M281" s="36" t="s">
        <v>36</v>
      </c>
      <c r="N281" s="37" t="s">
        <v>36</v>
      </c>
      <c r="O281" s="38" t="s">
        <v>3033</v>
      </c>
      <c r="P281" s="39" t="s">
        <v>516</v>
      </c>
      <c r="Q281" s="40" t="s">
        <v>36</v>
      </c>
      <c r="R281" s="41" t="s">
        <v>35</v>
      </c>
      <c r="S281" s="42" t="s">
        <v>36</v>
      </c>
      <c r="T281" s="43" t="s">
        <v>3034</v>
      </c>
      <c r="U281" s="45" t="str">
        <f>HYPERLINK("https://my.pitchbook.com?p=51588-91P", "View people online")</f>
        <v>View people online</v>
      </c>
    </row>
    <row r="282" spans="1:21" x14ac:dyDescent="0.3">
      <c r="A282" s="4" t="s">
        <v>3035</v>
      </c>
      <c r="B282" s="5" t="s">
        <v>3036</v>
      </c>
      <c r="C282" s="6" t="s">
        <v>3037</v>
      </c>
      <c r="D282" s="7" t="s">
        <v>3038</v>
      </c>
      <c r="E282" s="8" t="s">
        <v>3039</v>
      </c>
      <c r="F282" s="9" t="s">
        <v>3040</v>
      </c>
      <c r="G282" s="10">
        <v>2</v>
      </c>
      <c r="H282" s="11">
        <v>2</v>
      </c>
      <c r="I282" s="12" t="s">
        <v>36</v>
      </c>
      <c r="J282" s="13" t="s">
        <v>3041</v>
      </c>
      <c r="K282" s="14" t="s">
        <v>3042</v>
      </c>
      <c r="L282" s="15" t="s">
        <v>157</v>
      </c>
      <c r="M282" s="16" t="s">
        <v>3043</v>
      </c>
      <c r="N282" s="17" t="s">
        <v>3044</v>
      </c>
      <c r="O282" s="18" t="s">
        <v>159</v>
      </c>
      <c r="P282" s="19" t="s">
        <v>50</v>
      </c>
      <c r="Q282" s="20" t="s">
        <v>160</v>
      </c>
      <c r="R282" s="21" t="s">
        <v>35</v>
      </c>
      <c r="S282" s="22" t="s">
        <v>36</v>
      </c>
      <c r="T282" s="23" t="s">
        <v>3045</v>
      </c>
      <c r="U282" s="44" t="str">
        <f>HYPERLINK("https://my.pitchbook.com?p=80047-18P", "View people online")</f>
        <v>View people online</v>
      </c>
    </row>
    <row r="283" spans="1:21" x14ac:dyDescent="0.3">
      <c r="A283" s="24" t="s">
        <v>3046</v>
      </c>
      <c r="B283" s="25" t="s">
        <v>3047</v>
      </c>
      <c r="C283" s="26" t="s">
        <v>3048</v>
      </c>
      <c r="D283" s="27" t="s">
        <v>3049</v>
      </c>
      <c r="E283" s="28" t="s">
        <v>340</v>
      </c>
      <c r="F283" s="29" t="s">
        <v>3050</v>
      </c>
      <c r="G283" s="30">
        <v>1</v>
      </c>
      <c r="H283" s="31">
        <v>2</v>
      </c>
      <c r="I283" s="32">
        <v>1</v>
      </c>
      <c r="J283" s="33" t="s">
        <v>3051</v>
      </c>
      <c r="K283" s="34" t="s">
        <v>36</v>
      </c>
      <c r="L283" s="35" t="s">
        <v>183</v>
      </c>
      <c r="M283" s="36" t="s">
        <v>1941</v>
      </c>
      <c r="N283" s="37" t="s">
        <v>3052</v>
      </c>
      <c r="O283" s="38" t="s">
        <v>186</v>
      </c>
      <c r="P283" s="39" t="s">
        <v>50</v>
      </c>
      <c r="Q283" s="40" t="s">
        <v>625</v>
      </c>
      <c r="R283" s="41" t="s">
        <v>35</v>
      </c>
      <c r="S283" s="42" t="s">
        <v>3053</v>
      </c>
      <c r="T283" s="43" t="s">
        <v>3054</v>
      </c>
      <c r="U283" s="45" t="str">
        <f>HYPERLINK("https://my.pitchbook.com?p=32710-69P", "View people online")</f>
        <v>View people online</v>
      </c>
    </row>
    <row r="284" spans="1:21" x14ac:dyDescent="0.3">
      <c r="A284" s="4" t="s">
        <v>3055</v>
      </c>
      <c r="B284" s="5" t="s">
        <v>3056</v>
      </c>
      <c r="C284" s="6" t="s">
        <v>3057</v>
      </c>
      <c r="D284" s="7" t="s">
        <v>3058</v>
      </c>
      <c r="E284" s="8" t="s">
        <v>86</v>
      </c>
      <c r="F284" s="9" t="s">
        <v>3059</v>
      </c>
      <c r="G284" s="10" t="s">
        <v>36</v>
      </c>
      <c r="H284" s="11">
        <v>2</v>
      </c>
      <c r="I284" s="12" t="s">
        <v>36</v>
      </c>
      <c r="J284" s="13" t="s">
        <v>3060</v>
      </c>
      <c r="K284" s="14" t="s">
        <v>3061</v>
      </c>
      <c r="L284" s="15" t="s">
        <v>318</v>
      </c>
      <c r="M284" s="16" t="s">
        <v>3062</v>
      </c>
      <c r="N284" s="17" t="s">
        <v>3063</v>
      </c>
      <c r="O284" s="18" t="s">
        <v>321</v>
      </c>
      <c r="P284" s="19" t="s">
        <v>50</v>
      </c>
      <c r="Q284" s="20" t="s">
        <v>322</v>
      </c>
      <c r="R284" s="21" t="s">
        <v>35</v>
      </c>
      <c r="S284" s="22" t="s">
        <v>36</v>
      </c>
      <c r="T284" s="23" t="s">
        <v>3064</v>
      </c>
      <c r="U284" s="44" t="str">
        <f>HYPERLINK("https://my.pitchbook.com?p=41455-99P", "View people online")</f>
        <v>View people online</v>
      </c>
    </row>
    <row r="285" spans="1:21" x14ac:dyDescent="0.3">
      <c r="A285" s="24" t="s">
        <v>3065</v>
      </c>
      <c r="B285" s="25" t="s">
        <v>3066</v>
      </c>
      <c r="C285" s="26" t="s">
        <v>3067</v>
      </c>
      <c r="D285" s="27" t="s">
        <v>3068</v>
      </c>
      <c r="E285" s="28" t="s">
        <v>179</v>
      </c>
      <c r="F285" s="29" t="s">
        <v>3069</v>
      </c>
      <c r="G285" s="30" t="s">
        <v>36</v>
      </c>
      <c r="H285" s="31">
        <v>2</v>
      </c>
      <c r="I285" s="32" t="s">
        <v>36</v>
      </c>
      <c r="J285" s="33" t="s">
        <v>36</v>
      </c>
      <c r="K285" s="34" t="s">
        <v>3070</v>
      </c>
      <c r="L285" s="35" t="s">
        <v>169</v>
      </c>
      <c r="M285" s="36" t="s">
        <v>3071</v>
      </c>
      <c r="N285" s="37" t="s">
        <v>3072</v>
      </c>
      <c r="O285" s="38" t="s">
        <v>172</v>
      </c>
      <c r="P285" s="39" t="s">
        <v>50</v>
      </c>
      <c r="Q285" s="40" t="s">
        <v>173</v>
      </c>
      <c r="R285" s="41" t="s">
        <v>35</v>
      </c>
      <c r="S285" s="42" t="s">
        <v>36</v>
      </c>
      <c r="T285" s="43" t="s">
        <v>3073</v>
      </c>
      <c r="U285" s="45" t="str">
        <f>HYPERLINK("https://my.pitchbook.com?p=246608-92P", "View people online")</f>
        <v>View people online</v>
      </c>
    </row>
    <row r="286" spans="1:21" x14ac:dyDescent="0.3">
      <c r="A286" s="4" t="s">
        <v>3074</v>
      </c>
      <c r="B286" s="5" t="s">
        <v>3075</v>
      </c>
      <c r="C286" s="6" t="s">
        <v>3076</v>
      </c>
      <c r="D286" s="7" t="s">
        <v>3068</v>
      </c>
      <c r="E286" s="8" t="s">
        <v>3077</v>
      </c>
      <c r="F286" s="9" t="s">
        <v>3078</v>
      </c>
      <c r="G286" s="10">
        <v>1</v>
      </c>
      <c r="H286" s="11">
        <v>2</v>
      </c>
      <c r="I286" s="12" t="s">
        <v>36</v>
      </c>
      <c r="J286" s="13" t="s">
        <v>3079</v>
      </c>
      <c r="K286" s="14" t="s">
        <v>3080</v>
      </c>
      <c r="L286" s="15" t="s">
        <v>3081</v>
      </c>
      <c r="M286" s="16" t="s">
        <v>3082</v>
      </c>
      <c r="N286" s="17" t="s">
        <v>3083</v>
      </c>
      <c r="O286" s="18" t="s">
        <v>3084</v>
      </c>
      <c r="P286" s="19" t="s">
        <v>3085</v>
      </c>
      <c r="Q286" s="20" t="s">
        <v>3086</v>
      </c>
      <c r="R286" s="21" t="s">
        <v>35</v>
      </c>
      <c r="S286" s="22" t="s">
        <v>3087</v>
      </c>
      <c r="T286" s="23" t="s">
        <v>3088</v>
      </c>
      <c r="U286" s="44" t="str">
        <f>HYPERLINK("https://my.pitchbook.com?p=35559-19P", "View people online")</f>
        <v>View people online</v>
      </c>
    </row>
    <row r="287" spans="1:21" x14ac:dyDescent="0.3">
      <c r="A287" s="24" t="s">
        <v>3089</v>
      </c>
      <c r="B287" s="25" t="s">
        <v>3090</v>
      </c>
      <c r="C287" s="26" t="s">
        <v>3091</v>
      </c>
      <c r="D287" s="27" t="s">
        <v>3092</v>
      </c>
      <c r="E287" s="28" t="s">
        <v>1387</v>
      </c>
      <c r="F287" s="29" t="s">
        <v>3093</v>
      </c>
      <c r="G287" s="30">
        <v>1</v>
      </c>
      <c r="H287" s="31">
        <v>2</v>
      </c>
      <c r="I287" s="32" t="s">
        <v>36</v>
      </c>
      <c r="J287" s="33" t="s">
        <v>3094</v>
      </c>
      <c r="K287" s="34" t="s">
        <v>3095</v>
      </c>
      <c r="L287" s="35" t="s">
        <v>3096</v>
      </c>
      <c r="M287" s="36" t="s">
        <v>3097</v>
      </c>
      <c r="N287" s="37" t="s">
        <v>3098</v>
      </c>
      <c r="O287" s="38" t="s">
        <v>3099</v>
      </c>
      <c r="P287" s="39" t="s">
        <v>36</v>
      </c>
      <c r="Q287" s="40" t="s">
        <v>3100</v>
      </c>
      <c r="R287" s="41" t="s">
        <v>3101</v>
      </c>
      <c r="S287" s="42" t="s">
        <v>3102</v>
      </c>
      <c r="T287" s="43" t="s">
        <v>3103</v>
      </c>
      <c r="U287" s="45" t="str">
        <f>HYPERLINK("https://my.pitchbook.com?p=75973-15P", "View people online")</f>
        <v>View people online</v>
      </c>
    </row>
    <row r="288" spans="1:21" x14ac:dyDescent="0.3">
      <c r="A288" s="4" t="s">
        <v>3104</v>
      </c>
      <c r="B288" s="5" t="s">
        <v>3105</v>
      </c>
      <c r="C288" s="6" t="s">
        <v>3106</v>
      </c>
      <c r="D288" s="7" t="s">
        <v>677</v>
      </c>
      <c r="E288" s="8" t="s">
        <v>1531</v>
      </c>
      <c r="F288" s="9" t="s">
        <v>3107</v>
      </c>
      <c r="G288" s="10">
        <v>1</v>
      </c>
      <c r="H288" s="11">
        <v>2</v>
      </c>
      <c r="I288" s="12" t="s">
        <v>36</v>
      </c>
      <c r="J288" s="13" t="s">
        <v>3108</v>
      </c>
      <c r="K288" s="14" t="s">
        <v>3109</v>
      </c>
      <c r="L288" s="15" t="s">
        <v>3110</v>
      </c>
      <c r="M288" s="16" t="s">
        <v>3111</v>
      </c>
      <c r="N288" s="17" t="s">
        <v>3112</v>
      </c>
      <c r="O288" s="18" t="s">
        <v>3113</v>
      </c>
      <c r="P288" s="19" t="s">
        <v>516</v>
      </c>
      <c r="Q288" s="20" t="s">
        <v>3114</v>
      </c>
      <c r="R288" s="21" t="s">
        <v>35</v>
      </c>
      <c r="S288" s="22" t="s">
        <v>36</v>
      </c>
      <c r="T288" s="23" t="s">
        <v>3115</v>
      </c>
      <c r="U288" s="44" t="str">
        <f>HYPERLINK("https://my.pitchbook.com?p=96269-77P", "View people online")</f>
        <v>View people online</v>
      </c>
    </row>
    <row r="289" spans="1:21" x14ac:dyDescent="0.3">
      <c r="A289" s="24" t="s">
        <v>3116</v>
      </c>
      <c r="B289" s="25" t="s">
        <v>3117</v>
      </c>
      <c r="C289" s="26" t="s">
        <v>3118</v>
      </c>
      <c r="D289" s="27" t="s">
        <v>677</v>
      </c>
      <c r="E289" s="28" t="s">
        <v>128</v>
      </c>
      <c r="F289" s="29" t="s">
        <v>3119</v>
      </c>
      <c r="G289" s="30" t="s">
        <v>36</v>
      </c>
      <c r="H289" s="31">
        <v>2</v>
      </c>
      <c r="I289" s="32" t="s">
        <v>36</v>
      </c>
      <c r="J289" s="33" t="s">
        <v>36</v>
      </c>
      <c r="K289" s="34" t="s">
        <v>3120</v>
      </c>
      <c r="L289" s="35" t="s">
        <v>183</v>
      </c>
      <c r="M289" s="36" t="s">
        <v>735</v>
      </c>
      <c r="N289" s="37" t="s">
        <v>736</v>
      </c>
      <c r="O289" s="38" t="s">
        <v>186</v>
      </c>
      <c r="P289" s="39" t="s">
        <v>50</v>
      </c>
      <c r="Q289" s="40" t="s">
        <v>575</v>
      </c>
      <c r="R289" s="41" t="s">
        <v>35</v>
      </c>
      <c r="S289" s="42" t="s">
        <v>36</v>
      </c>
      <c r="T289" s="43" t="s">
        <v>3121</v>
      </c>
      <c r="U289" s="45" t="str">
        <f>HYPERLINK("https://my.pitchbook.com?p=41619-25P", "View people online")</f>
        <v>View people online</v>
      </c>
    </row>
    <row r="290" spans="1:21" x14ac:dyDescent="0.3">
      <c r="A290" s="4" t="s">
        <v>3122</v>
      </c>
      <c r="B290" s="5" t="s">
        <v>3123</v>
      </c>
      <c r="C290" s="6" t="s">
        <v>3124</v>
      </c>
      <c r="D290" s="7" t="s">
        <v>3125</v>
      </c>
      <c r="E290" s="8" t="s">
        <v>3126</v>
      </c>
      <c r="F290" s="9" t="s">
        <v>2284</v>
      </c>
      <c r="G290" s="10">
        <v>1</v>
      </c>
      <c r="H290" s="11">
        <v>2</v>
      </c>
      <c r="I290" s="12" t="s">
        <v>36</v>
      </c>
      <c r="J290" s="13" t="s">
        <v>2285</v>
      </c>
      <c r="K290" s="14" t="s">
        <v>36</v>
      </c>
      <c r="L290" s="15" t="s">
        <v>1404</v>
      </c>
      <c r="M290" s="16" t="s">
        <v>2286</v>
      </c>
      <c r="N290" s="17" t="s">
        <v>2287</v>
      </c>
      <c r="O290" s="18" t="s">
        <v>1407</v>
      </c>
      <c r="P290" s="19" t="s">
        <v>50</v>
      </c>
      <c r="Q290" s="20" t="s">
        <v>1417</v>
      </c>
      <c r="R290" s="21" t="s">
        <v>35</v>
      </c>
      <c r="S290" s="22" t="s">
        <v>36</v>
      </c>
      <c r="T290" s="23" t="s">
        <v>3127</v>
      </c>
      <c r="U290" s="44" t="str">
        <f>HYPERLINK("https://my.pitchbook.com?p=153387-73P", "View people online")</f>
        <v>View people online</v>
      </c>
    </row>
    <row r="291" spans="1:21" x14ac:dyDescent="0.3">
      <c r="A291" s="24" t="s">
        <v>3128</v>
      </c>
      <c r="B291" s="25" t="s">
        <v>3129</v>
      </c>
      <c r="C291" s="26" t="s">
        <v>3130</v>
      </c>
      <c r="D291" s="27" t="s">
        <v>699</v>
      </c>
      <c r="E291" s="28" t="s">
        <v>3131</v>
      </c>
      <c r="F291" s="29" t="s">
        <v>3132</v>
      </c>
      <c r="G291" s="30">
        <v>1</v>
      </c>
      <c r="H291" s="31">
        <v>2</v>
      </c>
      <c r="I291" s="32" t="s">
        <v>36</v>
      </c>
      <c r="J291" s="33" t="s">
        <v>36</v>
      </c>
      <c r="K291" s="34" t="s">
        <v>3133</v>
      </c>
      <c r="L291" s="35" t="s">
        <v>3134</v>
      </c>
      <c r="M291" s="36" t="s">
        <v>3135</v>
      </c>
      <c r="N291" s="37" t="s">
        <v>36</v>
      </c>
      <c r="O291" s="38" t="s">
        <v>3136</v>
      </c>
      <c r="P291" s="39" t="s">
        <v>50</v>
      </c>
      <c r="Q291" s="40" t="s">
        <v>3137</v>
      </c>
      <c r="R291" s="41" t="s">
        <v>35</v>
      </c>
      <c r="S291" s="42" t="s">
        <v>36</v>
      </c>
      <c r="T291" s="43" t="s">
        <v>3138</v>
      </c>
      <c r="U291" s="45" t="str">
        <f>HYPERLINK("https://my.pitchbook.com?p=88407-10P", "View people online")</f>
        <v>View people online</v>
      </c>
    </row>
    <row r="292" spans="1:21" x14ac:dyDescent="0.3">
      <c r="A292" s="4" t="s">
        <v>3139</v>
      </c>
      <c r="B292" s="5" t="s">
        <v>3140</v>
      </c>
      <c r="C292" s="6" t="s">
        <v>3141</v>
      </c>
      <c r="D292" s="7" t="s">
        <v>3142</v>
      </c>
      <c r="E292" s="8" t="s">
        <v>314</v>
      </c>
      <c r="F292" s="9" t="s">
        <v>3143</v>
      </c>
      <c r="G292" s="10">
        <v>1</v>
      </c>
      <c r="H292" s="11">
        <v>2</v>
      </c>
      <c r="I292" s="12" t="s">
        <v>36</v>
      </c>
      <c r="J292" s="13" t="s">
        <v>3144</v>
      </c>
      <c r="K292" s="14" t="s">
        <v>3145</v>
      </c>
      <c r="L292" s="15" t="s">
        <v>3146</v>
      </c>
      <c r="M292" s="16" t="s">
        <v>3147</v>
      </c>
      <c r="N292" s="17" t="s">
        <v>36</v>
      </c>
      <c r="O292" s="18" t="s">
        <v>2688</v>
      </c>
      <c r="P292" s="19" t="s">
        <v>3148</v>
      </c>
      <c r="Q292" s="20" t="s">
        <v>3149</v>
      </c>
      <c r="R292" s="21" t="s">
        <v>35</v>
      </c>
      <c r="S292" s="22" t="s">
        <v>36</v>
      </c>
      <c r="T292" s="23" t="s">
        <v>3150</v>
      </c>
      <c r="U292" s="44" t="str">
        <f>HYPERLINK("https://my.pitchbook.com?p=112687-84P", "View people online")</f>
        <v>View people online</v>
      </c>
    </row>
    <row r="293" spans="1:21" x14ac:dyDescent="0.3">
      <c r="A293" s="24" t="s">
        <v>3151</v>
      </c>
      <c r="B293" s="25" t="s">
        <v>3152</v>
      </c>
      <c r="C293" s="26" t="s">
        <v>3153</v>
      </c>
      <c r="D293" s="27" t="s">
        <v>3154</v>
      </c>
      <c r="E293" s="28" t="s">
        <v>1431</v>
      </c>
      <c r="F293" s="29" t="s">
        <v>3155</v>
      </c>
      <c r="G293" s="30">
        <v>1</v>
      </c>
      <c r="H293" s="31">
        <v>2</v>
      </c>
      <c r="I293" s="32">
        <v>1</v>
      </c>
      <c r="J293" s="33" t="s">
        <v>3156</v>
      </c>
      <c r="K293" s="34" t="s">
        <v>3157</v>
      </c>
      <c r="L293" s="35" t="s">
        <v>1404</v>
      </c>
      <c r="M293" s="36" t="s">
        <v>3158</v>
      </c>
      <c r="N293" s="37" t="s">
        <v>3159</v>
      </c>
      <c r="O293" s="38" t="s">
        <v>1407</v>
      </c>
      <c r="P293" s="39" t="s">
        <v>50</v>
      </c>
      <c r="Q293" s="40" t="s">
        <v>3160</v>
      </c>
      <c r="R293" s="41" t="s">
        <v>35</v>
      </c>
      <c r="S293" s="42" t="s">
        <v>36</v>
      </c>
      <c r="T293" s="43" t="s">
        <v>3161</v>
      </c>
      <c r="U293" s="45" t="str">
        <f>HYPERLINK("https://my.pitchbook.com?p=41923-18P", "View people online")</f>
        <v>View people online</v>
      </c>
    </row>
    <row r="294" spans="1:21" x14ac:dyDescent="0.3">
      <c r="A294" s="4" t="s">
        <v>3162</v>
      </c>
      <c r="B294" s="5" t="s">
        <v>3163</v>
      </c>
      <c r="C294" s="6" t="s">
        <v>3164</v>
      </c>
      <c r="D294" s="7" t="s">
        <v>3165</v>
      </c>
      <c r="E294" s="8" t="s">
        <v>340</v>
      </c>
      <c r="F294" s="9" t="s">
        <v>3166</v>
      </c>
      <c r="G294" s="10">
        <v>1</v>
      </c>
      <c r="H294" s="11">
        <v>2</v>
      </c>
      <c r="I294" s="12" t="s">
        <v>36</v>
      </c>
      <c r="J294" s="13" t="s">
        <v>3167</v>
      </c>
      <c r="K294" s="14" t="s">
        <v>3168</v>
      </c>
      <c r="L294" s="15" t="s">
        <v>3169</v>
      </c>
      <c r="M294" s="16" t="s">
        <v>3170</v>
      </c>
      <c r="N294" s="17" t="s">
        <v>36</v>
      </c>
      <c r="O294" s="18" t="s">
        <v>1200</v>
      </c>
      <c r="P294" s="19" t="s">
        <v>1115</v>
      </c>
      <c r="Q294" s="20" t="s">
        <v>3171</v>
      </c>
      <c r="R294" s="21" t="s">
        <v>35</v>
      </c>
      <c r="S294" s="22" t="s">
        <v>36</v>
      </c>
      <c r="T294" s="23" t="s">
        <v>3172</v>
      </c>
      <c r="U294" s="44" t="str">
        <f>HYPERLINK("https://my.pitchbook.com?p=48426-58P", "View people online")</f>
        <v>View people online</v>
      </c>
    </row>
    <row r="295" spans="1:21" x14ac:dyDescent="0.3">
      <c r="A295" s="24" t="s">
        <v>3173</v>
      </c>
      <c r="B295" s="25" t="s">
        <v>3174</v>
      </c>
      <c r="C295" s="26" t="s">
        <v>2620</v>
      </c>
      <c r="D295" s="27" t="s">
        <v>3175</v>
      </c>
      <c r="E295" s="28" t="s">
        <v>3176</v>
      </c>
      <c r="F295" s="29" t="s">
        <v>3177</v>
      </c>
      <c r="G295" s="30" t="s">
        <v>36</v>
      </c>
      <c r="H295" s="31">
        <v>2</v>
      </c>
      <c r="I295" s="32" t="s">
        <v>36</v>
      </c>
      <c r="J295" s="33" t="s">
        <v>3178</v>
      </c>
      <c r="K295" s="34" t="s">
        <v>3179</v>
      </c>
      <c r="L295" s="35" t="s">
        <v>295</v>
      </c>
      <c r="M295" s="36" t="s">
        <v>36</v>
      </c>
      <c r="N295" s="37" t="s">
        <v>36</v>
      </c>
      <c r="O295" s="38" t="s">
        <v>298</v>
      </c>
      <c r="P295" s="39" t="s">
        <v>50</v>
      </c>
      <c r="Q295" s="40" t="s">
        <v>36</v>
      </c>
      <c r="R295" s="41" t="s">
        <v>35</v>
      </c>
      <c r="S295" s="42" t="s">
        <v>36</v>
      </c>
      <c r="T295" s="43" t="s">
        <v>3180</v>
      </c>
      <c r="U295" s="45" t="str">
        <f>HYPERLINK("https://my.pitchbook.com?p=173254-78P", "View people online")</f>
        <v>View people online</v>
      </c>
    </row>
    <row r="296" spans="1:21" x14ac:dyDescent="0.3">
      <c r="A296" s="4" t="s">
        <v>3181</v>
      </c>
      <c r="B296" s="5" t="s">
        <v>3182</v>
      </c>
      <c r="C296" s="6" t="s">
        <v>3183</v>
      </c>
      <c r="D296" s="7" t="s">
        <v>3184</v>
      </c>
      <c r="E296" s="8" t="s">
        <v>179</v>
      </c>
      <c r="F296" s="9" t="s">
        <v>3185</v>
      </c>
      <c r="G296" s="10" t="s">
        <v>36</v>
      </c>
      <c r="H296" s="11">
        <v>2</v>
      </c>
      <c r="I296" s="12" t="s">
        <v>36</v>
      </c>
      <c r="J296" s="13" t="s">
        <v>3186</v>
      </c>
      <c r="K296" s="14" t="s">
        <v>3187</v>
      </c>
      <c r="L296" s="15" t="s">
        <v>3188</v>
      </c>
      <c r="M296" s="16" t="s">
        <v>3189</v>
      </c>
      <c r="N296" s="17" t="s">
        <v>171</v>
      </c>
      <c r="O296" s="18" t="s">
        <v>3190</v>
      </c>
      <c r="P296" s="19" t="s">
        <v>50</v>
      </c>
      <c r="Q296" s="20" t="s">
        <v>3191</v>
      </c>
      <c r="R296" s="21" t="s">
        <v>35</v>
      </c>
      <c r="S296" s="22" t="s">
        <v>36</v>
      </c>
      <c r="T296" s="23" t="s">
        <v>3192</v>
      </c>
      <c r="U296" s="44" t="str">
        <f>HYPERLINK("https://my.pitchbook.com?p=115220-62P", "View people online")</f>
        <v>View people online</v>
      </c>
    </row>
    <row r="297" spans="1:21" x14ac:dyDescent="0.3">
      <c r="A297" s="24" t="s">
        <v>3193</v>
      </c>
      <c r="B297" s="25" t="s">
        <v>3194</v>
      </c>
      <c r="C297" s="26" t="s">
        <v>2150</v>
      </c>
      <c r="D297" s="27" t="s">
        <v>3195</v>
      </c>
      <c r="E297" s="28" t="s">
        <v>1569</v>
      </c>
      <c r="F297" s="29" t="s">
        <v>3196</v>
      </c>
      <c r="G297" s="30" t="s">
        <v>36</v>
      </c>
      <c r="H297" s="31">
        <v>2</v>
      </c>
      <c r="I297" s="32" t="s">
        <v>36</v>
      </c>
      <c r="J297" s="33" t="s">
        <v>3197</v>
      </c>
      <c r="K297" s="34" t="s">
        <v>36</v>
      </c>
      <c r="L297" s="35" t="s">
        <v>3198</v>
      </c>
      <c r="M297" s="36" t="s">
        <v>3199</v>
      </c>
      <c r="N297" s="37" t="s">
        <v>36</v>
      </c>
      <c r="O297" s="38" t="s">
        <v>3200</v>
      </c>
      <c r="P297" s="39" t="s">
        <v>63</v>
      </c>
      <c r="Q297" s="40" t="s">
        <v>3201</v>
      </c>
      <c r="R297" s="41" t="s">
        <v>35</v>
      </c>
      <c r="S297" s="42" t="s">
        <v>3202</v>
      </c>
      <c r="T297" s="43" t="s">
        <v>3203</v>
      </c>
      <c r="U297" s="45" t="str">
        <f>HYPERLINK("https://my.pitchbook.com?p=69219-91P", "View people online")</f>
        <v>View people online</v>
      </c>
    </row>
    <row r="298" spans="1:21" x14ac:dyDescent="0.3">
      <c r="A298" s="4" t="s">
        <v>3204</v>
      </c>
      <c r="B298" s="5" t="s">
        <v>3205</v>
      </c>
      <c r="C298" s="6" t="s">
        <v>3206</v>
      </c>
      <c r="D298" s="7" t="s">
        <v>3207</v>
      </c>
      <c r="E298" s="8" t="s">
        <v>3208</v>
      </c>
      <c r="F298" s="9" t="s">
        <v>3209</v>
      </c>
      <c r="G298" s="10">
        <v>1</v>
      </c>
      <c r="H298" s="11">
        <v>2</v>
      </c>
      <c r="I298" s="12" t="s">
        <v>36</v>
      </c>
      <c r="J298" s="13" t="s">
        <v>3210</v>
      </c>
      <c r="K298" s="14" t="s">
        <v>36</v>
      </c>
      <c r="L298" s="15" t="s">
        <v>1136</v>
      </c>
      <c r="M298" s="16" t="s">
        <v>3211</v>
      </c>
      <c r="N298" s="17" t="s">
        <v>3212</v>
      </c>
      <c r="O298" s="18" t="s">
        <v>1139</v>
      </c>
      <c r="P298" s="19" t="s">
        <v>1140</v>
      </c>
      <c r="Q298" s="20" t="s">
        <v>3213</v>
      </c>
      <c r="R298" s="21" t="s">
        <v>35</v>
      </c>
      <c r="S298" s="22" t="s">
        <v>3214</v>
      </c>
      <c r="T298" s="23" t="s">
        <v>3215</v>
      </c>
      <c r="U298" s="44" t="str">
        <f>HYPERLINK("https://my.pitchbook.com?p=90568-09P", "View people online")</f>
        <v>View people online</v>
      </c>
    </row>
    <row r="299" spans="1:21" x14ac:dyDescent="0.3">
      <c r="A299" s="24" t="s">
        <v>3216</v>
      </c>
      <c r="B299" s="25" t="s">
        <v>3217</v>
      </c>
      <c r="C299" s="26" t="s">
        <v>3218</v>
      </c>
      <c r="D299" s="27" t="s">
        <v>3219</v>
      </c>
      <c r="E299" s="28" t="s">
        <v>1751</v>
      </c>
      <c r="F299" s="29" t="s">
        <v>3220</v>
      </c>
      <c r="G299" s="30">
        <v>1</v>
      </c>
      <c r="H299" s="31">
        <v>2</v>
      </c>
      <c r="I299" s="32">
        <v>1</v>
      </c>
      <c r="J299" s="33" t="s">
        <v>3221</v>
      </c>
      <c r="K299" s="34" t="s">
        <v>3222</v>
      </c>
      <c r="L299" s="35" t="s">
        <v>3223</v>
      </c>
      <c r="M299" s="36" t="s">
        <v>3224</v>
      </c>
      <c r="N299" s="37" t="s">
        <v>529</v>
      </c>
      <c r="O299" s="38" t="s">
        <v>3225</v>
      </c>
      <c r="P299" s="39" t="s">
        <v>50</v>
      </c>
      <c r="Q299" s="40" t="s">
        <v>3226</v>
      </c>
      <c r="R299" s="41" t="s">
        <v>35</v>
      </c>
      <c r="S299" s="42" t="s">
        <v>3227</v>
      </c>
      <c r="T299" s="43" t="s">
        <v>3228</v>
      </c>
      <c r="U299" s="45" t="str">
        <f>HYPERLINK("https://my.pitchbook.com?p=37281-07P", "View people online")</f>
        <v>View people online</v>
      </c>
    </row>
    <row r="300" spans="1:21" x14ac:dyDescent="0.3">
      <c r="A300" s="4" t="s">
        <v>3229</v>
      </c>
      <c r="B300" s="5" t="s">
        <v>3230</v>
      </c>
      <c r="C300" s="6" t="s">
        <v>3231</v>
      </c>
      <c r="D300" s="7" t="s">
        <v>247</v>
      </c>
      <c r="E300" s="8" t="s">
        <v>2712</v>
      </c>
      <c r="F300" s="9" t="s">
        <v>3232</v>
      </c>
      <c r="G300" s="10" t="s">
        <v>36</v>
      </c>
      <c r="H300" s="11">
        <v>2</v>
      </c>
      <c r="I300" s="12" t="s">
        <v>36</v>
      </c>
      <c r="J300" s="13" t="s">
        <v>3233</v>
      </c>
      <c r="K300" s="14" t="s">
        <v>3234</v>
      </c>
      <c r="L300" s="15" t="s">
        <v>3235</v>
      </c>
      <c r="M300" s="16" t="s">
        <v>3236</v>
      </c>
      <c r="N300" s="17" t="s">
        <v>3237</v>
      </c>
      <c r="O300" s="18" t="s">
        <v>3238</v>
      </c>
      <c r="P300" s="19" t="s">
        <v>3239</v>
      </c>
      <c r="Q300" s="20" t="s">
        <v>3240</v>
      </c>
      <c r="R300" s="21" t="s">
        <v>35</v>
      </c>
      <c r="S300" s="22" t="s">
        <v>3241</v>
      </c>
      <c r="T300" s="23" t="s">
        <v>3242</v>
      </c>
      <c r="U300" s="44" t="str">
        <f>HYPERLINK("https://my.pitchbook.com?p=64342-27P", "View people online")</f>
        <v>View people online</v>
      </c>
    </row>
    <row r="301" spans="1:21" x14ac:dyDescent="0.3">
      <c r="A301" s="24" t="s">
        <v>3243</v>
      </c>
      <c r="B301" s="25" t="s">
        <v>3244</v>
      </c>
      <c r="C301" s="26" t="s">
        <v>3245</v>
      </c>
      <c r="D301" s="27" t="s">
        <v>247</v>
      </c>
      <c r="E301" s="28" t="s">
        <v>1531</v>
      </c>
      <c r="F301" s="29" t="s">
        <v>3246</v>
      </c>
      <c r="G301" s="30">
        <v>1</v>
      </c>
      <c r="H301" s="31">
        <v>2</v>
      </c>
      <c r="I301" s="32" t="s">
        <v>36</v>
      </c>
      <c r="J301" s="33" t="s">
        <v>36</v>
      </c>
      <c r="K301" s="34" t="s">
        <v>3247</v>
      </c>
      <c r="L301" s="35" t="s">
        <v>183</v>
      </c>
      <c r="M301" s="36" t="s">
        <v>3248</v>
      </c>
      <c r="N301" s="37" t="s">
        <v>3249</v>
      </c>
      <c r="O301" s="38" t="s">
        <v>186</v>
      </c>
      <c r="P301" s="39" t="s">
        <v>50</v>
      </c>
      <c r="Q301" s="40" t="s">
        <v>3250</v>
      </c>
      <c r="R301" s="41" t="s">
        <v>35</v>
      </c>
      <c r="S301" s="42" t="s">
        <v>36</v>
      </c>
      <c r="T301" s="43" t="s">
        <v>3251</v>
      </c>
      <c r="U301" s="45" t="str">
        <f>HYPERLINK("https://my.pitchbook.com?p=95714-02P", "View people online")</f>
        <v>View people online</v>
      </c>
    </row>
    <row r="302" spans="1:21" x14ac:dyDescent="0.3">
      <c r="A302" s="4" t="s">
        <v>3252</v>
      </c>
      <c r="B302" s="5" t="s">
        <v>3253</v>
      </c>
      <c r="C302" s="6" t="s">
        <v>3254</v>
      </c>
      <c r="D302" s="7" t="s">
        <v>3255</v>
      </c>
      <c r="E302" s="8" t="s">
        <v>2223</v>
      </c>
      <c r="F302" s="9" t="s">
        <v>3256</v>
      </c>
      <c r="G302" s="10" t="s">
        <v>36</v>
      </c>
      <c r="H302" s="11">
        <v>2</v>
      </c>
      <c r="I302" s="12" t="s">
        <v>36</v>
      </c>
      <c r="J302" s="13" t="s">
        <v>3257</v>
      </c>
      <c r="K302" s="14" t="s">
        <v>3258</v>
      </c>
      <c r="L302" s="15" t="s">
        <v>183</v>
      </c>
      <c r="M302" s="16" t="s">
        <v>276</v>
      </c>
      <c r="N302" s="17" t="s">
        <v>1942</v>
      </c>
      <c r="O302" s="18" t="s">
        <v>186</v>
      </c>
      <c r="P302" s="19" t="s">
        <v>50</v>
      </c>
      <c r="Q302" s="20" t="s">
        <v>278</v>
      </c>
      <c r="R302" s="21" t="s">
        <v>35</v>
      </c>
      <c r="S302" s="22" t="s">
        <v>3259</v>
      </c>
      <c r="T302" s="23" t="s">
        <v>3260</v>
      </c>
      <c r="U302" s="44" t="str">
        <f>HYPERLINK("https://my.pitchbook.com?p=114300-55P", "View people online")</f>
        <v>View people online</v>
      </c>
    </row>
    <row r="303" spans="1:21" x14ac:dyDescent="0.3">
      <c r="A303" s="24" t="s">
        <v>3261</v>
      </c>
      <c r="B303" s="25" t="s">
        <v>3262</v>
      </c>
      <c r="C303" s="26" t="s">
        <v>3263</v>
      </c>
      <c r="D303" s="27" t="s">
        <v>3264</v>
      </c>
      <c r="E303" s="28" t="s">
        <v>86</v>
      </c>
      <c r="F303" s="29" t="s">
        <v>3265</v>
      </c>
      <c r="G303" s="30">
        <v>1</v>
      </c>
      <c r="H303" s="31">
        <v>2</v>
      </c>
      <c r="I303" s="32" t="s">
        <v>36</v>
      </c>
      <c r="J303" s="33" t="s">
        <v>36</v>
      </c>
      <c r="K303" s="34" t="s">
        <v>3266</v>
      </c>
      <c r="L303" s="35" t="s">
        <v>2052</v>
      </c>
      <c r="M303" s="36" t="s">
        <v>3267</v>
      </c>
      <c r="N303" s="37" t="s">
        <v>3268</v>
      </c>
      <c r="O303" s="38" t="s">
        <v>2055</v>
      </c>
      <c r="P303" s="39" t="s">
        <v>36</v>
      </c>
      <c r="Q303" s="40" t="s">
        <v>3269</v>
      </c>
      <c r="R303" s="41" t="s">
        <v>2055</v>
      </c>
      <c r="S303" s="42" t="s">
        <v>36</v>
      </c>
      <c r="T303" s="43" t="s">
        <v>3270</v>
      </c>
      <c r="U303" s="45" t="str">
        <f>HYPERLINK("https://my.pitchbook.com?p=175079-53P", "View people online")</f>
        <v>View people online</v>
      </c>
    </row>
    <row r="304" spans="1:21" x14ac:dyDescent="0.3">
      <c r="A304" s="4" t="s">
        <v>3271</v>
      </c>
      <c r="B304" s="5" t="s">
        <v>3272</v>
      </c>
      <c r="C304" s="6" t="s">
        <v>3273</v>
      </c>
      <c r="D304" s="7" t="s">
        <v>3274</v>
      </c>
      <c r="E304" s="8" t="s">
        <v>3275</v>
      </c>
      <c r="F304" s="9" t="s">
        <v>3276</v>
      </c>
      <c r="G304" s="10">
        <v>1</v>
      </c>
      <c r="H304" s="11">
        <v>2</v>
      </c>
      <c r="I304" s="12" t="s">
        <v>36</v>
      </c>
      <c r="J304" s="13" t="s">
        <v>3277</v>
      </c>
      <c r="K304" s="14" t="s">
        <v>3278</v>
      </c>
      <c r="L304" s="15" t="s">
        <v>1404</v>
      </c>
      <c r="M304" s="16" t="s">
        <v>3279</v>
      </c>
      <c r="N304" s="17" t="s">
        <v>466</v>
      </c>
      <c r="O304" s="18" t="s">
        <v>1407</v>
      </c>
      <c r="P304" s="19" t="s">
        <v>50</v>
      </c>
      <c r="Q304" s="20" t="s">
        <v>1417</v>
      </c>
      <c r="R304" s="21" t="s">
        <v>35</v>
      </c>
      <c r="S304" s="22" t="s">
        <v>36</v>
      </c>
      <c r="T304" s="23" t="s">
        <v>3280</v>
      </c>
      <c r="U304" s="44" t="str">
        <f>HYPERLINK("https://my.pitchbook.com?p=42786-64P", "View people online")</f>
        <v>View people online</v>
      </c>
    </row>
    <row r="305" spans="1:21" x14ac:dyDescent="0.3">
      <c r="A305" s="24" t="s">
        <v>3281</v>
      </c>
      <c r="B305" s="25" t="s">
        <v>3282</v>
      </c>
      <c r="C305" s="26" t="s">
        <v>3283</v>
      </c>
      <c r="D305" s="27" t="s">
        <v>3284</v>
      </c>
      <c r="E305" s="28" t="s">
        <v>1912</v>
      </c>
      <c r="F305" s="29" t="s">
        <v>3285</v>
      </c>
      <c r="G305" s="30" t="s">
        <v>36</v>
      </c>
      <c r="H305" s="31">
        <v>2</v>
      </c>
      <c r="I305" s="32" t="s">
        <v>36</v>
      </c>
      <c r="J305" s="33" t="s">
        <v>3286</v>
      </c>
      <c r="K305" s="34" t="s">
        <v>3287</v>
      </c>
      <c r="L305" s="35" t="s">
        <v>183</v>
      </c>
      <c r="M305" s="36" t="s">
        <v>2840</v>
      </c>
      <c r="N305" s="37" t="s">
        <v>3288</v>
      </c>
      <c r="O305" s="38" t="s">
        <v>186</v>
      </c>
      <c r="P305" s="39" t="s">
        <v>50</v>
      </c>
      <c r="Q305" s="40" t="s">
        <v>718</v>
      </c>
      <c r="R305" s="41" t="s">
        <v>35</v>
      </c>
      <c r="S305" s="42" t="s">
        <v>36</v>
      </c>
      <c r="T305" s="43" t="s">
        <v>3289</v>
      </c>
      <c r="U305" s="45" t="str">
        <f>HYPERLINK("https://my.pitchbook.com?p=143666-02P", "View people online")</f>
        <v>View people online</v>
      </c>
    </row>
    <row r="306" spans="1:21" x14ac:dyDescent="0.3">
      <c r="A306" s="4" t="s">
        <v>3290</v>
      </c>
      <c r="B306" s="5" t="s">
        <v>3291</v>
      </c>
      <c r="C306" s="6" t="s">
        <v>3292</v>
      </c>
      <c r="D306" s="7" t="s">
        <v>152</v>
      </c>
      <c r="E306" s="8" t="s">
        <v>3293</v>
      </c>
      <c r="F306" s="9" t="s">
        <v>3294</v>
      </c>
      <c r="G306" s="10">
        <v>1</v>
      </c>
      <c r="H306" s="11">
        <v>2</v>
      </c>
      <c r="I306" s="12">
        <v>1</v>
      </c>
      <c r="J306" s="13" t="s">
        <v>36</v>
      </c>
      <c r="K306" s="14" t="s">
        <v>3295</v>
      </c>
      <c r="L306" s="15" t="s">
        <v>183</v>
      </c>
      <c r="M306" s="16" t="s">
        <v>3296</v>
      </c>
      <c r="N306" s="17" t="s">
        <v>624</v>
      </c>
      <c r="O306" s="18" t="s">
        <v>186</v>
      </c>
      <c r="P306" s="19" t="s">
        <v>50</v>
      </c>
      <c r="Q306" s="20" t="s">
        <v>444</v>
      </c>
      <c r="R306" s="21" t="s">
        <v>35</v>
      </c>
      <c r="S306" s="22" t="s">
        <v>36</v>
      </c>
      <c r="T306" s="23" t="s">
        <v>3297</v>
      </c>
      <c r="U306" s="44" t="str">
        <f>HYPERLINK("https://my.pitchbook.com?p=93695-14P", "View people online")</f>
        <v>View people online</v>
      </c>
    </row>
    <row r="307" spans="1:21" x14ac:dyDescent="0.3">
      <c r="A307" s="24" t="s">
        <v>3298</v>
      </c>
      <c r="B307" s="25" t="s">
        <v>3299</v>
      </c>
      <c r="C307" s="26" t="s">
        <v>3300</v>
      </c>
      <c r="D307" s="27" t="s">
        <v>3301</v>
      </c>
      <c r="E307" s="28" t="s">
        <v>179</v>
      </c>
      <c r="F307" s="29" t="s">
        <v>3302</v>
      </c>
      <c r="G307" s="30">
        <v>1</v>
      </c>
      <c r="H307" s="31">
        <v>2</v>
      </c>
      <c r="I307" s="32" t="s">
        <v>36</v>
      </c>
      <c r="J307" s="33" t="s">
        <v>3303</v>
      </c>
      <c r="K307" s="34" t="s">
        <v>3304</v>
      </c>
      <c r="L307" s="35" t="s">
        <v>397</v>
      </c>
      <c r="M307" s="36" t="s">
        <v>3305</v>
      </c>
      <c r="N307" s="37" t="s">
        <v>3306</v>
      </c>
      <c r="O307" s="38" t="s">
        <v>400</v>
      </c>
      <c r="P307" s="39" t="s">
        <v>400</v>
      </c>
      <c r="Q307" s="40" t="s">
        <v>3307</v>
      </c>
      <c r="R307" s="41" t="s">
        <v>35</v>
      </c>
      <c r="S307" s="42" t="s">
        <v>36</v>
      </c>
      <c r="T307" s="43" t="s">
        <v>3308</v>
      </c>
      <c r="U307" s="45" t="str">
        <f>HYPERLINK("https://my.pitchbook.com?p=106790-41P", "View people online")</f>
        <v>View people online</v>
      </c>
    </row>
    <row r="308" spans="1:21" x14ac:dyDescent="0.3">
      <c r="A308" s="4" t="s">
        <v>3309</v>
      </c>
      <c r="B308" s="5" t="s">
        <v>3310</v>
      </c>
      <c r="C308" s="6" t="s">
        <v>3311</v>
      </c>
      <c r="D308" s="7" t="s">
        <v>3312</v>
      </c>
      <c r="E308" s="8" t="s">
        <v>86</v>
      </c>
      <c r="F308" s="9" t="s">
        <v>3313</v>
      </c>
      <c r="G308" s="10" t="s">
        <v>36</v>
      </c>
      <c r="H308" s="11">
        <v>2</v>
      </c>
      <c r="I308" s="12" t="s">
        <v>36</v>
      </c>
      <c r="J308" s="13" t="s">
        <v>3314</v>
      </c>
      <c r="K308" s="14" t="s">
        <v>3315</v>
      </c>
      <c r="L308" s="15" t="s">
        <v>1404</v>
      </c>
      <c r="M308" s="16" t="s">
        <v>3316</v>
      </c>
      <c r="N308" s="17" t="s">
        <v>36</v>
      </c>
      <c r="O308" s="18" t="s">
        <v>1407</v>
      </c>
      <c r="P308" s="19" t="s">
        <v>50</v>
      </c>
      <c r="Q308" s="20" t="s">
        <v>1417</v>
      </c>
      <c r="R308" s="21" t="s">
        <v>35</v>
      </c>
      <c r="S308" s="22" t="s">
        <v>36</v>
      </c>
      <c r="T308" s="23" t="s">
        <v>3317</v>
      </c>
      <c r="U308" s="44" t="str">
        <f>HYPERLINK("https://my.pitchbook.com?p=207549-10P", "View people online")</f>
        <v>View people online</v>
      </c>
    </row>
    <row r="309" spans="1:21" x14ac:dyDescent="0.3">
      <c r="A309" s="24" t="s">
        <v>3318</v>
      </c>
      <c r="B309" s="25" t="s">
        <v>3319</v>
      </c>
      <c r="C309" s="26" t="s">
        <v>3320</v>
      </c>
      <c r="D309" s="27" t="s">
        <v>3321</v>
      </c>
      <c r="E309" s="28" t="s">
        <v>3322</v>
      </c>
      <c r="F309" s="29" t="s">
        <v>3323</v>
      </c>
      <c r="G309" s="30">
        <v>1</v>
      </c>
      <c r="H309" s="31">
        <v>2</v>
      </c>
      <c r="I309" s="32" t="s">
        <v>36</v>
      </c>
      <c r="J309" s="33" t="s">
        <v>3324</v>
      </c>
      <c r="K309" s="34" t="s">
        <v>3325</v>
      </c>
      <c r="L309" s="35" t="s">
        <v>2580</v>
      </c>
      <c r="M309" s="36" t="s">
        <v>3326</v>
      </c>
      <c r="N309" s="37" t="s">
        <v>36</v>
      </c>
      <c r="O309" s="38" t="s">
        <v>2583</v>
      </c>
      <c r="P309" s="39" t="s">
        <v>50</v>
      </c>
      <c r="Q309" s="40" t="s">
        <v>2584</v>
      </c>
      <c r="R309" s="41" t="s">
        <v>35</v>
      </c>
      <c r="S309" s="42" t="s">
        <v>3327</v>
      </c>
      <c r="T309" s="43" t="s">
        <v>3328</v>
      </c>
      <c r="U309" s="45" t="str">
        <f>HYPERLINK("https://my.pitchbook.com?p=60498-55P", "View people online")</f>
        <v>View people online</v>
      </c>
    </row>
    <row r="310" spans="1:21" x14ac:dyDescent="0.3">
      <c r="A310" s="4" t="s">
        <v>3329</v>
      </c>
      <c r="B310" s="5" t="s">
        <v>3330</v>
      </c>
      <c r="C310" s="6" t="s">
        <v>3331</v>
      </c>
      <c r="D310" s="7" t="s">
        <v>3332</v>
      </c>
      <c r="E310" s="8" t="s">
        <v>942</v>
      </c>
      <c r="F310" s="9" t="s">
        <v>3333</v>
      </c>
      <c r="G310" s="10" t="s">
        <v>36</v>
      </c>
      <c r="H310" s="11">
        <v>2</v>
      </c>
      <c r="I310" s="12" t="s">
        <v>36</v>
      </c>
      <c r="J310" s="13" t="s">
        <v>36</v>
      </c>
      <c r="K310" s="14" t="s">
        <v>3334</v>
      </c>
      <c r="L310" s="15" t="s">
        <v>183</v>
      </c>
      <c r="M310" s="16" t="s">
        <v>3335</v>
      </c>
      <c r="N310" s="17" t="s">
        <v>36</v>
      </c>
      <c r="O310" s="18" t="s">
        <v>186</v>
      </c>
      <c r="P310" s="19" t="s">
        <v>50</v>
      </c>
      <c r="Q310" s="20" t="s">
        <v>266</v>
      </c>
      <c r="R310" s="21" t="s">
        <v>35</v>
      </c>
      <c r="S310" s="22" t="s">
        <v>36</v>
      </c>
      <c r="T310" s="23" t="s">
        <v>3336</v>
      </c>
      <c r="U310" s="44" t="str">
        <f>HYPERLINK("https://my.pitchbook.com?p=35707-69P", "View people online")</f>
        <v>View people online</v>
      </c>
    </row>
    <row r="311" spans="1:21" x14ac:dyDescent="0.3">
      <c r="A311" s="24" t="s">
        <v>3337</v>
      </c>
      <c r="B311" s="25" t="s">
        <v>3338</v>
      </c>
      <c r="C311" s="26" t="s">
        <v>3339</v>
      </c>
      <c r="D311" s="27" t="s">
        <v>3340</v>
      </c>
      <c r="E311" s="28" t="s">
        <v>1192</v>
      </c>
      <c r="F311" s="29" t="s">
        <v>3341</v>
      </c>
      <c r="G311" s="30">
        <v>1</v>
      </c>
      <c r="H311" s="31">
        <v>2</v>
      </c>
      <c r="I311" s="32" t="s">
        <v>36</v>
      </c>
      <c r="J311" s="33" t="s">
        <v>3342</v>
      </c>
      <c r="K311" s="34" t="s">
        <v>3343</v>
      </c>
      <c r="L311" s="35" t="s">
        <v>397</v>
      </c>
      <c r="M311" s="36" t="s">
        <v>36</v>
      </c>
      <c r="N311" s="37" t="s">
        <v>36</v>
      </c>
      <c r="O311" s="38" t="s">
        <v>400</v>
      </c>
      <c r="P311" s="39" t="s">
        <v>400</v>
      </c>
      <c r="Q311" s="40" t="s">
        <v>36</v>
      </c>
      <c r="R311" s="41" t="s">
        <v>35</v>
      </c>
      <c r="S311" s="42" t="s">
        <v>36</v>
      </c>
      <c r="T311" s="43" t="s">
        <v>3344</v>
      </c>
      <c r="U311" s="45" t="str">
        <f>HYPERLINK("https://my.pitchbook.com?p=38918-26P", "View people online")</f>
        <v>View people online</v>
      </c>
    </row>
    <row r="312" spans="1:21" x14ac:dyDescent="0.3">
      <c r="A312" s="4" t="s">
        <v>3345</v>
      </c>
      <c r="B312" s="5" t="s">
        <v>3346</v>
      </c>
      <c r="C312" s="6" t="s">
        <v>3347</v>
      </c>
      <c r="D312" s="7" t="s">
        <v>3348</v>
      </c>
      <c r="E312" s="8" t="s">
        <v>314</v>
      </c>
      <c r="F312" s="9" t="s">
        <v>3349</v>
      </c>
      <c r="G312" s="10">
        <v>2</v>
      </c>
      <c r="H312" s="11">
        <v>2</v>
      </c>
      <c r="I312" s="12" t="s">
        <v>36</v>
      </c>
      <c r="J312" s="13" t="s">
        <v>3350</v>
      </c>
      <c r="K312" s="14" t="s">
        <v>3351</v>
      </c>
      <c r="L312" s="15" t="s">
        <v>3352</v>
      </c>
      <c r="M312" s="16" t="s">
        <v>3353</v>
      </c>
      <c r="N312" s="17" t="s">
        <v>171</v>
      </c>
      <c r="O312" s="18" t="s">
        <v>3354</v>
      </c>
      <c r="P312" s="19" t="s">
        <v>50</v>
      </c>
      <c r="Q312" s="20" t="s">
        <v>3355</v>
      </c>
      <c r="R312" s="21" t="s">
        <v>35</v>
      </c>
      <c r="S312" s="22" t="s">
        <v>36</v>
      </c>
      <c r="T312" s="23" t="s">
        <v>3356</v>
      </c>
      <c r="U312" s="44" t="str">
        <f>HYPERLINK("https://my.pitchbook.com?p=45281-71P", "View people online")</f>
        <v>View people online</v>
      </c>
    </row>
    <row r="313" spans="1:21" x14ac:dyDescent="0.3">
      <c r="A313" s="24" t="s">
        <v>3357</v>
      </c>
      <c r="B313" s="25" t="s">
        <v>3358</v>
      </c>
      <c r="C313" s="26" t="s">
        <v>3359</v>
      </c>
      <c r="D313" s="27" t="s">
        <v>3360</v>
      </c>
      <c r="E313" s="28" t="s">
        <v>283</v>
      </c>
      <c r="F313" s="29" t="s">
        <v>3361</v>
      </c>
      <c r="G313" s="30">
        <v>1</v>
      </c>
      <c r="H313" s="31">
        <v>2</v>
      </c>
      <c r="I313" s="32" t="s">
        <v>36</v>
      </c>
      <c r="J313" s="33" t="s">
        <v>3362</v>
      </c>
      <c r="K313" s="34" t="s">
        <v>3363</v>
      </c>
      <c r="L313" s="35" t="s">
        <v>250</v>
      </c>
      <c r="M313" s="36" t="s">
        <v>3364</v>
      </c>
      <c r="N313" s="37" t="s">
        <v>3365</v>
      </c>
      <c r="O313" s="38" t="s">
        <v>253</v>
      </c>
      <c r="P313" s="39" t="s">
        <v>50</v>
      </c>
      <c r="Q313" s="40" t="s">
        <v>3366</v>
      </c>
      <c r="R313" s="41" t="s">
        <v>35</v>
      </c>
      <c r="S313" s="42" t="s">
        <v>36</v>
      </c>
      <c r="T313" s="43" t="s">
        <v>3367</v>
      </c>
      <c r="U313" s="45" t="str">
        <f>HYPERLINK("https://my.pitchbook.com?p=83803-33P", "View people online")</f>
        <v>View people online</v>
      </c>
    </row>
    <row r="314" spans="1:21" x14ac:dyDescent="0.3">
      <c r="A314" s="4" t="s">
        <v>3368</v>
      </c>
      <c r="B314" s="5" t="s">
        <v>3369</v>
      </c>
      <c r="C314" s="6" t="s">
        <v>3370</v>
      </c>
      <c r="D314" s="7" t="s">
        <v>3371</v>
      </c>
      <c r="E314" s="8" t="s">
        <v>179</v>
      </c>
      <c r="F314" s="9" t="s">
        <v>3372</v>
      </c>
      <c r="G314" s="10" t="s">
        <v>36</v>
      </c>
      <c r="H314" s="11">
        <v>2</v>
      </c>
      <c r="I314" s="12" t="s">
        <v>36</v>
      </c>
      <c r="J314" s="13" t="s">
        <v>3373</v>
      </c>
      <c r="K314" s="14" t="s">
        <v>3374</v>
      </c>
      <c r="L314" s="15" t="s">
        <v>1404</v>
      </c>
      <c r="M314" s="16" t="s">
        <v>36</v>
      </c>
      <c r="N314" s="17" t="s">
        <v>36</v>
      </c>
      <c r="O314" s="18" t="s">
        <v>1407</v>
      </c>
      <c r="P314" s="19" t="s">
        <v>50</v>
      </c>
      <c r="Q314" s="20" t="s">
        <v>36</v>
      </c>
      <c r="R314" s="21" t="s">
        <v>35</v>
      </c>
      <c r="S314" s="22" t="s">
        <v>36</v>
      </c>
      <c r="T314" s="23" t="s">
        <v>3375</v>
      </c>
      <c r="U314" s="44" t="str">
        <f>HYPERLINK("https://my.pitchbook.com?p=111593-80P", "View people online")</f>
        <v>View people online</v>
      </c>
    </row>
    <row r="315" spans="1:21" x14ac:dyDescent="0.3">
      <c r="A315" s="24" t="s">
        <v>3376</v>
      </c>
      <c r="B315" s="25" t="s">
        <v>3377</v>
      </c>
      <c r="C315" s="26" t="s">
        <v>3378</v>
      </c>
      <c r="D315" s="27" t="s">
        <v>1776</v>
      </c>
      <c r="E315" s="28" t="s">
        <v>3379</v>
      </c>
      <c r="F315" s="29" t="s">
        <v>3380</v>
      </c>
      <c r="G315" s="30" t="s">
        <v>36</v>
      </c>
      <c r="H315" s="31">
        <v>2</v>
      </c>
      <c r="I315" s="32">
        <v>1</v>
      </c>
      <c r="J315" s="33" t="s">
        <v>3381</v>
      </c>
      <c r="K315" s="34" t="s">
        <v>3382</v>
      </c>
      <c r="L315" s="35" t="s">
        <v>703</v>
      </c>
      <c r="M315" s="36" t="s">
        <v>3383</v>
      </c>
      <c r="N315" s="37" t="s">
        <v>806</v>
      </c>
      <c r="O315" s="38" t="s">
        <v>706</v>
      </c>
      <c r="P315" s="39" t="s">
        <v>468</v>
      </c>
      <c r="Q315" s="40" t="s">
        <v>3384</v>
      </c>
      <c r="R315" s="41" t="s">
        <v>35</v>
      </c>
      <c r="S315" s="42" t="s">
        <v>36</v>
      </c>
      <c r="T315" s="43" t="s">
        <v>3385</v>
      </c>
      <c r="U315" s="45" t="str">
        <f>HYPERLINK("https://my.pitchbook.com?p=58144-78P", "View people online")</f>
        <v>View people online</v>
      </c>
    </row>
    <row r="316" spans="1:21" x14ac:dyDescent="0.3">
      <c r="A316" s="4" t="s">
        <v>3386</v>
      </c>
      <c r="B316" s="5" t="s">
        <v>3387</v>
      </c>
      <c r="C316" s="6" t="s">
        <v>3388</v>
      </c>
      <c r="D316" s="7" t="s">
        <v>1776</v>
      </c>
      <c r="E316" s="8" t="s">
        <v>179</v>
      </c>
      <c r="F316" s="9" t="s">
        <v>3389</v>
      </c>
      <c r="G316" s="10">
        <v>1</v>
      </c>
      <c r="H316" s="11">
        <v>2</v>
      </c>
      <c r="I316" s="12" t="s">
        <v>36</v>
      </c>
      <c r="J316" s="13" t="s">
        <v>3390</v>
      </c>
      <c r="K316" s="14" t="s">
        <v>3391</v>
      </c>
      <c r="L316" s="15" t="s">
        <v>1136</v>
      </c>
      <c r="M316" s="16" t="s">
        <v>3392</v>
      </c>
      <c r="N316" s="17" t="s">
        <v>3393</v>
      </c>
      <c r="O316" s="18" t="s">
        <v>1139</v>
      </c>
      <c r="P316" s="19" t="s">
        <v>1140</v>
      </c>
      <c r="Q316" s="20" t="s">
        <v>3394</v>
      </c>
      <c r="R316" s="21" t="s">
        <v>35</v>
      </c>
      <c r="S316" s="22" t="s">
        <v>36</v>
      </c>
      <c r="T316" s="23" t="s">
        <v>3395</v>
      </c>
      <c r="U316" s="44" t="str">
        <f>HYPERLINK("https://my.pitchbook.com?p=161098-30P", "View people online")</f>
        <v>View people online</v>
      </c>
    </row>
    <row r="317" spans="1:21" x14ac:dyDescent="0.3">
      <c r="A317" s="24" t="s">
        <v>3396</v>
      </c>
      <c r="B317" s="25" t="s">
        <v>3397</v>
      </c>
      <c r="C317" s="26" t="s">
        <v>952</v>
      </c>
      <c r="D317" s="27" t="s">
        <v>1321</v>
      </c>
      <c r="E317" s="28" t="s">
        <v>3398</v>
      </c>
      <c r="F317" s="29" t="s">
        <v>3399</v>
      </c>
      <c r="G317" s="30">
        <v>1</v>
      </c>
      <c r="H317" s="31">
        <v>2</v>
      </c>
      <c r="I317" s="32" t="s">
        <v>36</v>
      </c>
      <c r="J317" s="33" t="s">
        <v>3400</v>
      </c>
      <c r="K317" s="34" t="s">
        <v>3401</v>
      </c>
      <c r="L317" s="35" t="s">
        <v>183</v>
      </c>
      <c r="M317" s="36" t="s">
        <v>3402</v>
      </c>
      <c r="N317" s="37" t="s">
        <v>3403</v>
      </c>
      <c r="O317" s="38" t="s">
        <v>186</v>
      </c>
      <c r="P317" s="39" t="s">
        <v>50</v>
      </c>
      <c r="Q317" s="40" t="s">
        <v>718</v>
      </c>
      <c r="R317" s="41" t="s">
        <v>35</v>
      </c>
      <c r="S317" s="42" t="s">
        <v>3404</v>
      </c>
      <c r="T317" s="43" t="s">
        <v>3405</v>
      </c>
      <c r="U317" s="45" t="str">
        <f>HYPERLINK("https://my.pitchbook.com?p=208668-79P", "View people online")</f>
        <v>View people online</v>
      </c>
    </row>
    <row r="318" spans="1:21" x14ac:dyDescent="0.3">
      <c r="A318" s="4" t="s">
        <v>3406</v>
      </c>
      <c r="B318" s="5" t="s">
        <v>3407</v>
      </c>
      <c r="C318" s="6" t="s">
        <v>3408</v>
      </c>
      <c r="D318" s="7" t="s">
        <v>507</v>
      </c>
      <c r="E318" s="8" t="s">
        <v>340</v>
      </c>
      <c r="F318" s="9" t="s">
        <v>3409</v>
      </c>
      <c r="G318" s="10">
        <v>2</v>
      </c>
      <c r="H318" s="11">
        <v>2</v>
      </c>
      <c r="I318" s="12" t="s">
        <v>36</v>
      </c>
      <c r="J318" s="13" t="s">
        <v>36</v>
      </c>
      <c r="K318" s="14" t="s">
        <v>3410</v>
      </c>
      <c r="L318" s="15" t="s">
        <v>818</v>
      </c>
      <c r="M318" s="16" t="s">
        <v>3411</v>
      </c>
      <c r="N318" s="17" t="s">
        <v>3412</v>
      </c>
      <c r="O318" s="18" t="s">
        <v>821</v>
      </c>
      <c r="P318" s="19" t="s">
        <v>50</v>
      </c>
      <c r="Q318" s="20" t="s">
        <v>822</v>
      </c>
      <c r="R318" s="21" t="s">
        <v>35</v>
      </c>
      <c r="S318" s="22" t="s">
        <v>36</v>
      </c>
      <c r="T318" s="23" t="s">
        <v>3413</v>
      </c>
      <c r="U318" s="44" t="str">
        <f>HYPERLINK("https://my.pitchbook.com?p=39510-19P", "View people online")</f>
        <v>View people online</v>
      </c>
    </row>
    <row r="319" spans="1:21" x14ac:dyDescent="0.3">
      <c r="A319" s="24" t="s">
        <v>3414</v>
      </c>
      <c r="B319" s="25" t="s">
        <v>3415</v>
      </c>
      <c r="C319" s="26" t="s">
        <v>3416</v>
      </c>
      <c r="D319" s="27" t="s">
        <v>3417</v>
      </c>
      <c r="E319" s="28" t="s">
        <v>3418</v>
      </c>
      <c r="F319" s="29" t="s">
        <v>3419</v>
      </c>
      <c r="G319" s="30">
        <v>1</v>
      </c>
      <c r="H319" s="31">
        <v>2</v>
      </c>
      <c r="I319" s="32" t="s">
        <v>36</v>
      </c>
      <c r="J319" s="33" t="s">
        <v>3420</v>
      </c>
      <c r="K319" s="34" t="s">
        <v>3421</v>
      </c>
      <c r="L319" s="35" t="s">
        <v>3422</v>
      </c>
      <c r="M319" s="36" t="s">
        <v>3423</v>
      </c>
      <c r="N319" s="37" t="s">
        <v>3424</v>
      </c>
      <c r="O319" s="38" t="s">
        <v>3425</v>
      </c>
      <c r="P319" s="39" t="s">
        <v>3426</v>
      </c>
      <c r="Q319" s="40" t="s">
        <v>3427</v>
      </c>
      <c r="R319" s="41" t="s">
        <v>35</v>
      </c>
      <c r="S319" s="42" t="s">
        <v>36</v>
      </c>
      <c r="T319" s="43" t="s">
        <v>3428</v>
      </c>
      <c r="U319" s="45" t="str">
        <f>HYPERLINK("https://my.pitchbook.com?p=74921-59P", "View people online")</f>
        <v>View people online</v>
      </c>
    </row>
    <row r="320" spans="1:21" x14ac:dyDescent="0.3">
      <c r="A320" s="4" t="s">
        <v>3429</v>
      </c>
      <c r="B320" s="5" t="s">
        <v>3430</v>
      </c>
      <c r="C320" s="6" t="s">
        <v>3431</v>
      </c>
      <c r="D320" s="7" t="s">
        <v>3432</v>
      </c>
      <c r="E320" s="8" t="s">
        <v>3433</v>
      </c>
      <c r="F320" s="9" t="s">
        <v>3434</v>
      </c>
      <c r="G320" s="10">
        <v>1</v>
      </c>
      <c r="H320" s="11">
        <v>2</v>
      </c>
      <c r="I320" s="12" t="s">
        <v>36</v>
      </c>
      <c r="J320" s="13" t="s">
        <v>3435</v>
      </c>
      <c r="K320" s="14" t="s">
        <v>3436</v>
      </c>
      <c r="L320" s="15" t="s">
        <v>3437</v>
      </c>
      <c r="M320" s="16" t="s">
        <v>3438</v>
      </c>
      <c r="N320" s="17" t="s">
        <v>3439</v>
      </c>
      <c r="O320" s="18" t="s">
        <v>3440</v>
      </c>
      <c r="P320" s="19" t="s">
        <v>36</v>
      </c>
      <c r="Q320" s="20" t="s">
        <v>3441</v>
      </c>
      <c r="R320" s="21" t="s">
        <v>2340</v>
      </c>
      <c r="S320" s="22" t="s">
        <v>36</v>
      </c>
      <c r="T320" s="23" t="s">
        <v>3442</v>
      </c>
      <c r="U320" s="44" t="str">
        <f>HYPERLINK("https://my.pitchbook.com?p=110403-10P", "View people online")</f>
        <v>View people online</v>
      </c>
    </row>
    <row r="321" spans="1:21" x14ac:dyDescent="0.3">
      <c r="A321" s="24" t="s">
        <v>3443</v>
      </c>
      <c r="B321" s="25" t="s">
        <v>3444</v>
      </c>
      <c r="C321" s="26" t="s">
        <v>3445</v>
      </c>
      <c r="D321" s="27" t="s">
        <v>3446</v>
      </c>
      <c r="E321" s="28" t="s">
        <v>3447</v>
      </c>
      <c r="F321" s="29" t="s">
        <v>3448</v>
      </c>
      <c r="G321" s="30">
        <v>1</v>
      </c>
      <c r="H321" s="31">
        <v>2</v>
      </c>
      <c r="I321" s="32">
        <v>1</v>
      </c>
      <c r="J321" s="33" t="s">
        <v>3449</v>
      </c>
      <c r="K321" s="34" t="s">
        <v>3450</v>
      </c>
      <c r="L321" s="35" t="s">
        <v>2580</v>
      </c>
      <c r="M321" s="36" t="s">
        <v>3451</v>
      </c>
      <c r="N321" s="37" t="s">
        <v>36</v>
      </c>
      <c r="O321" s="38" t="s">
        <v>2583</v>
      </c>
      <c r="P321" s="39" t="s">
        <v>50</v>
      </c>
      <c r="Q321" s="40" t="s">
        <v>2584</v>
      </c>
      <c r="R321" s="41" t="s">
        <v>35</v>
      </c>
      <c r="S321" s="42" t="s">
        <v>36</v>
      </c>
      <c r="T321" s="43" t="s">
        <v>3452</v>
      </c>
      <c r="U321" s="45" t="str">
        <f>HYPERLINK("https://my.pitchbook.com?p=129892-15P", "View people online")</f>
        <v>View people online</v>
      </c>
    </row>
    <row r="322" spans="1:21" x14ac:dyDescent="0.3">
      <c r="A322" s="4" t="s">
        <v>3453</v>
      </c>
      <c r="B322" s="5" t="s">
        <v>3454</v>
      </c>
      <c r="C322" s="6" t="s">
        <v>3455</v>
      </c>
      <c r="D322" s="7" t="s">
        <v>3456</v>
      </c>
      <c r="E322" s="8" t="s">
        <v>3457</v>
      </c>
      <c r="F322" s="9" t="s">
        <v>3458</v>
      </c>
      <c r="G322" s="10" t="s">
        <v>36</v>
      </c>
      <c r="H322" s="11">
        <v>2</v>
      </c>
      <c r="I322" s="12" t="s">
        <v>36</v>
      </c>
      <c r="J322" s="13" t="s">
        <v>36</v>
      </c>
      <c r="K322" s="14" t="s">
        <v>3459</v>
      </c>
      <c r="L322" s="15" t="s">
        <v>397</v>
      </c>
      <c r="M322" s="16" t="s">
        <v>3460</v>
      </c>
      <c r="N322" s="17" t="s">
        <v>36</v>
      </c>
      <c r="O322" s="18" t="s">
        <v>400</v>
      </c>
      <c r="P322" s="19" t="s">
        <v>400</v>
      </c>
      <c r="Q322" s="20" t="s">
        <v>36</v>
      </c>
      <c r="R322" s="21" t="s">
        <v>35</v>
      </c>
      <c r="S322" s="22" t="s">
        <v>36</v>
      </c>
      <c r="T322" s="23" t="s">
        <v>3461</v>
      </c>
      <c r="U322" s="44" t="str">
        <f>HYPERLINK("https://my.pitchbook.com?p=207020-71P", "View people online")</f>
        <v>View people online</v>
      </c>
    </row>
    <row r="323" spans="1:21" x14ac:dyDescent="0.3">
      <c r="A323" s="24" t="s">
        <v>3462</v>
      </c>
      <c r="B323" s="25" t="s">
        <v>3463</v>
      </c>
      <c r="C323" s="26" t="s">
        <v>3464</v>
      </c>
      <c r="D323" s="27" t="s">
        <v>3465</v>
      </c>
      <c r="E323" s="28" t="s">
        <v>128</v>
      </c>
      <c r="F323" s="29" t="s">
        <v>3466</v>
      </c>
      <c r="G323" s="30" t="s">
        <v>36</v>
      </c>
      <c r="H323" s="31">
        <v>2</v>
      </c>
      <c r="I323" s="32" t="s">
        <v>36</v>
      </c>
      <c r="J323" s="33" t="s">
        <v>36</v>
      </c>
      <c r="K323" s="34" t="s">
        <v>3467</v>
      </c>
      <c r="L323" s="35" t="s">
        <v>183</v>
      </c>
      <c r="M323" s="36" t="s">
        <v>36</v>
      </c>
      <c r="N323" s="37" t="s">
        <v>36</v>
      </c>
      <c r="O323" s="38" t="s">
        <v>186</v>
      </c>
      <c r="P323" s="39" t="s">
        <v>50</v>
      </c>
      <c r="Q323" s="40" t="s">
        <v>36</v>
      </c>
      <c r="R323" s="41" t="s">
        <v>35</v>
      </c>
      <c r="S323" s="42" t="s">
        <v>36</v>
      </c>
      <c r="T323" s="43" t="s">
        <v>3468</v>
      </c>
      <c r="U323" s="45" t="str">
        <f>HYPERLINK("https://my.pitchbook.com?p=135074-62P", "View people online")</f>
        <v>View people online</v>
      </c>
    </row>
    <row r="324" spans="1:21" x14ac:dyDescent="0.3">
      <c r="A324" s="4" t="s">
        <v>3469</v>
      </c>
      <c r="B324" s="5" t="s">
        <v>3470</v>
      </c>
      <c r="C324" s="6" t="s">
        <v>3471</v>
      </c>
      <c r="D324" s="7" t="s">
        <v>3472</v>
      </c>
      <c r="E324" s="8" t="s">
        <v>3473</v>
      </c>
      <c r="F324" s="9" t="s">
        <v>1578</v>
      </c>
      <c r="G324" s="10" t="s">
        <v>36</v>
      </c>
      <c r="H324" s="11">
        <v>2</v>
      </c>
      <c r="I324" s="12" t="s">
        <v>36</v>
      </c>
      <c r="J324" s="13" t="s">
        <v>1579</v>
      </c>
      <c r="K324" s="14" t="s">
        <v>3474</v>
      </c>
      <c r="L324" s="15" t="s">
        <v>1112</v>
      </c>
      <c r="M324" s="16" t="s">
        <v>1581</v>
      </c>
      <c r="N324" s="17" t="s">
        <v>705</v>
      </c>
      <c r="O324" s="18" t="s">
        <v>1114</v>
      </c>
      <c r="P324" s="19" t="s">
        <v>1115</v>
      </c>
      <c r="Q324" s="20" t="s">
        <v>1582</v>
      </c>
      <c r="R324" s="21" t="s">
        <v>35</v>
      </c>
      <c r="S324" s="22" t="s">
        <v>36</v>
      </c>
      <c r="T324" s="23" t="s">
        <v>3475</v>
      </c>
      <c r="U324" s="44" t="str">
        <f>HYPERLINK("https://my.pitchbook.com?p=43605-46P", "View people online")</f>
        <v>View people online</v>
      </c>
    </row>
    <row r="325" spans="1:21" x14ac:dyDescent="0.3">
      <c r="A325" s="24" t="s">
        <v>3476</v>
      </c>
      <c r="B325" s="25" t="s">
        <v>3477</v>
      </c>
      <c r="C325" s="26" t="s">
        <v>3478</v>
      </c>
      <c r="D325" s="27" t="s">
        <v>3472</v>
      </c>
      <c r="E325" s="28" t="s">
        <v>3479</v>
      </c>
      <c r="F325" s="29" t="s">
        <v>3480</v>
      </c>
      <c r="G325" s="30" t="s">
        <v>36</v>
      </c>
      <c r="H325" s="31">
        <v>2</v>
      </c>
      <c r="I325" s="32" t="s">
        <v>36</v>
      </c>
      <c r="J325" s="33" t="s">
        <v>36</v>
      </c>
      <c r="K325" s="34" t="s">
        <v>3481</v>
      </c>
      <c r="L325" s="35" t="s">
        <v>183</v>
      </c>
      <c r="M325" s="36" t="s">
        <v>3482</v>
      </c>
      <c r="N325" s="37" t="s">
        <v>3393</v>
      </c>
      <c r="O325" s="38" t="s">
        <v>186</v>
      </c>
      <c r="P325" s="39" t="s">
        <v>50</v>
      </c>
      <c r="Q325" s="40" t="s">
        <v>575</v>
      </c>
      <c r="R325" s="41" t="s">
        <v>35</v>
      </c>
      <c r="S325" s="42" t="s">
        <v>36</v>
      </c>
      <c r="T325" s="43" t="s">
        <v>3483</v>
      </c>
      <c r="U325" s="45" t="str">
        <f>HYPERLINK("https://my.pitchbook.com?p=70098-76P", "View people online")</f>
        <v>View people online</v>
      </c>
    </row>
    <row r="326" spans="1:21" x14ac:dyDescent="0.3">
      <c r="A326" s="4" t="s">
        <v>3484</v>
      </c>
      <c r="B326" s="5" t="s">
        <v>3485</v>
      </c>
      <c r="C326" s="6" t="s">
        <v>3486</v>
      </c>
      <c r="D326" s="7" t="s">
        <v>3472</v>
      </c>
      <c r="E326" s="8" t="s">
        <v>3487</v>
      </c>
      <c r="F326" s="9" t="s">
        <v>3488</v>
      </c>
      <c r="G326" s="10">
        <v>1</v>
      </c>
      <c r="H326" s="11">
        <v>2</v>
      </c>
      <c r="I326" s="12" t="s">
        <v>36</v>
      </c>
      <c r="J326" s="13" t="s">
        <v>3489</v>
      </c>
      <c r="K326" s="14" t="s">
        <v>3490</v>
      </c>
      <c r="L326" s="15" t="s">
        <v>3491</v>
      </c>
      <c r="M326" s="16" t="s">
        <v>3492</v>
      </c>
      <c r="N326" s="17" t="s">
        <v>466</v>
      </c>
      <c r="O326" s="18" t="s">
        <v>3432</v>
      </c>
      <c r="P326" s="19" t="s">
        <v>50</v>
      </c>
      <c r="Q326" s="20" t="s">
        <v>3493</v>
      </c>
      <c r="R326" s="21" t="s">
        <v>35</v>
      </c>
      <c r="S326" s="22" t="s">
        <v>36</v>
      </c>
      <c r="T326" s="23" t="s">
        <v>3494</v>
      </c>
      <c r="U326" s="44" t="str">
        <f>HYPERLINK("https://my.pitchbook.com?p=41101-66P", "View people online")</f>
        <v>View people online</v>
      </c>
    </row>
    <row r="327" spans="1:21" x14ac:dyDescent="0.3">
      <c r="A327" s="24" t="s">
        <v>3495</v>
      </c>
      <c r="B327" s="25" t="s">
        <v>3496</v>
      </c>
      <c r="C327" s="26" t="s">
        <v>3497</v>
      </c>
      <c r="D327" s="27" t="s">
        <v>3498</v>
      </c>
      <c r="E327" s="28" t="s">
        <v>340</v>
      </c>
      <c r="F327" s="29" t="s">
        <v>3499</v>
      </c>
      <c r="G327" s="30">
        <v>1</v>
      </c>
      <c r="H327" s="31">
        <v>2</v>
      </c>
      <c r="I327" s="32" t="s">
        <v>36</v>
      </c>
      <c r="J327" s="33" t="s">
        <v>3500</v>
      </c>
      <c r="K327" s="34" t="s">
        <v>36</v>
      </c>
      <c r="L327" s="35" t="s">
        <v>3501</v>
      </c>
      <c r="M327" s="36" t="s">
        <v>3502</v>
      </c>
      <c r="N327" s="37" t="s">
        <v>36</v>
      </c>
      <c r="O327" s="38" t="s">
        <v>3503</v>
      </c>
      <c r="P327" s="39" t="s">
        <v>1115</v>
      </c>
      <c r="Q327" s="40" t="s">
        <v>3504</v>
      </c>
      <c r="R327" s="41" t="s">
        <v>35</v>
      </c>
      <c r="S327" s="42" t="s">
        <v>36</v>
      </c>
      <c r="T327" s="43" t="s">
        <v>3505</v>
      </c>
      <c r="U327" s="45" t="str">
        <f>HYPERLINK("https://my.pitchbook.com?p=61871-95P", "View people online")</f>
        <v>View people online</v>
      </c>
    </row>
    <row r="328" spans="1:21" x14ac:dyDescent="0.3">
      <c r="A328" s="4" t="s">
        <v>3506</v>
      </c>
      <c r="B328" s="5" t="s">
        <v>3507</v>
      </c>
      <c r="C328" s="6" t="s">
        <v>3508</v>
      </c>
      <c r="D328" s="7" t="s">
        <v>3509</v>
      </c>
      <c r="E328" s="8" t="s">
        <v>3510</v>
      </c>
      <c r="F328" s="9" t="s">
        <v>3511</v>
      </c>
      <c r="G328" s="10">
        <v>1</v>
      </c>
      <c r="H328" s="11">
        <v>2</v>
      </c>
      <c r="I328" s="12">
        <v>1</v>
      </c>
      <c r="J328" s="13" t="s">
        <v>3512</v>
      </c>
      <c r="K328" s="14" t="s">
        <v>3513</v>
      </c>
      <c r="L328" s="15" t="s">
        <v>3514</v>
      </c>
      <c r="M328" s="16" t="s">
        <v>3515</v>
      </c>
      <c r="N328" s="17" t="s">
        <v>36</v>
      </c>
      <c r="O328" s="18" t="s">
        <v>3516</v>
      </c>
      <c r="P328" s="19" t="s">
        <v>3517</v>
      </c>
      <c r="Q328" s="20" t="s">
        <v>3518</v>
      </c>
      <c r="R328" s="21" t="s">
        <v>79</v>
      </c>
      <c r="S328" s="22" t="s">
        <v>3519</v>
      </c>
      <c r="T328" s="23" t="s">
        <v>3520</v>
      </c>
      <c r="U328" s="44" t="str">
        <f>HYPERLINK("https://my.pitchbook.com?p=42071-05P", "View people online")</f>
        <v>View people online</v>
      </c>
    </row>
    <row r="329" spans="1:21" x14ac:dyDescent="0.3">
      <c r="A329" s="24" t="s">
        <v>3521</v>
      </c>
      <c r="B329" s="25" t="s">
        <v>3522</v>
      </c>
      <c r="C329" s="26" t="s">
        <v>3523</v>
      </c>
      <c r="D329" s="27" t="s">
        <v>3524</v>
      </c>
      <c r="E329" s="28" t="s">
        <v>340</v>
      </c>
      <c r="F329" s="29" t="s">
        <v>1414</v>
      </c>
      <c r="G329" s="30">
        <v>1</v>
      </c>
      <c r="H329" s="31">
        <v>2</v>
      </c>
      <c r="I329" s="32" t="s">
        <v>36</v>
      </c>
      <c r="J329" s="33" t="s">
        <v>36</v>
      </c>
      <c r="K329" s="34" t="s">
        <v>3525</v>
      </c>
      <c r="L329" s="35" t="s">
        <v>1404</v>
      </c>
      <c r="M329" s="36" t="s">
        <v>1416</v>
      </c>
      <c r="N329" s="37" t="s">
        <v>36</v>
      </c>
      <c r="O329" s="38" t="s">
        <v>1407</v>
      </c>
      <c r="P329" s="39" t="s">
        <v>50</v>
      </c>
      <c r="Q329" s="40" t="s">
        <v>1417</v>
      </c>
      <c r="R329" s="41" t="s">
        <v>35</v>
      </c>
      <c r="S329" s="42" t="s">
        <v>36</v>
      </c>
      <c r="T329" s="43" t="s">
        <v>3526</v>
      </c>
      <c r="U329" s="45" t="str">
        <f>HYPERLINK("https://my.pitchbook.com?p=96397-03P", "View people online")</f>
        <v>View people online</v>
      </c>
    </row>
    <row r="330" spans="1:21" x14ac:dyDescent="0.3">
      <c r="A330" s="4" t="s">
        <v>3527</v>
      </c>
      <c r="B330" s="5" t="s">
        <v>3528</v>
      </c>
      <c r="C330" s="6" t="s">
        <v>84</v>
      </c>
      <c r="D330" s="7" t="s">
        <v>3529</v>
      </c>
      <c r="E330" s="8" t="s">
        <v>2661</v>
      </c>
      <c r="F330" s="9" t="s">
        <v>3530</v>
      </c>
      <c r="G330" s="10">
        <v>2</v>
      </c>
      <c r="H330" s="11">
        <v>2</v>
      </c>
      <c r="I330" s="12" t="s">
        <v>36</v>
      </c>
      <c r="J330" s="13" t="s">
        <v>3531</v>
      </c>
      <c r="K330" s="14" t="s">
        <v>3532</v>
      </c>
      <c r="L330" s="15" t="s">
        <v>397</v>
      </c>
      <c r="M330" s="16" t="s">
        <v>3533</v>
      </c>
      <c r="N330" s="17" t="s">
        <v>36</v>
      </c>
      <c r="O330" s="18" t="s">
        <v>400</v>
      </c>
      <c r="P330" s="19" t="s">
        <v>400</v>
      </c>
      <c r="Q330" s="20" t="s">
        <v>3534</v>
      </c>
      <c r="R330" s="21" t="s">
        <v>35</v>
      </c>
      <c r="S330" s="22" t="s">
        <v>36</v>
      </c>
      <c r="T330" s="23" t="s">
        <v>3535</v>
      </c>
      <c r="U330" s="44" t="str">
        <f>HYPERLINK("https://my.pitchbook.com?p=59608-18P", "View people online")</f>
        <v>View people online</v>
      </c>
    </row>
    <row r="331" spans="1:21" x14ac:dyDescent="0.3">
      <c r="A331" s="24" t="s">
        <v>3536</v>
      </c>
      <c r="B331" s="25" t="s">
        <v>3537</v>
      </c>
      <c r="C331" s="26" t="s">
        <v>3538</v>
      </c>
      <c r="D331" s="27" t="s">
        <v>3539</v>
      </c>
      <c r="E331" s="28" t="s">
        <v>179</v>
      </c>
      <c r="F331" s="29" t="s">
        <v>3540</v>
      </c>
      <c r="G331" s="30" t="s">
        <v>36</v>
      </c>
      <c r="H331" s="31">
        <v>2</v>
      </c>
      <c r="I331" s="32" t="s">
        <v>36</v>
      </c>
      <c r="J331" s="33" t="s">
        <v>3541</v>
      </c>
      <c r="K331" s="34" t="s">
        <v>3542</v>
      </c>
      <c r="L331" s="35" t="s">
        <v>3543</v>
      </c>
      <c r="M331" s="36" t="s">
        <v>36</v>
      </c>
      <c r="N331" s="37" t="s">
        <v>36</v>
      </c>
      <c r="O331" s="38" t="s">
        <v>3544</v>
      </c>
      <c r="P331" s="39" t="s">
        <v>36</v>
      </c>
      <c r="Q331" s="40" t="s">
        <v>36</v>
      </c>
      <c r="R331" s="41" t="s">
        <v>3545</v>
      </c>
      <c r="S331" s="42" t="s">
        <v>36</v>
      </c>
      <c r="T331" s="43" t="s">
        <v>3546</v>
      </c>
      <c r="U331" s="45" t="str">
        <f>HYPERLINK("https://my.pitchbook.com?p=101688-04P", "View people online")</f>
        <v>View people online</v>
      </c>
    </row>
    <row r="332" spans="1:21" x14ac:dyDescent="0.3">
      <c r="A332" s="4" t="s">
        <v>3547</v>
      </c>
      <c r="B332" s="5" t="s">
        <v>3548</v>
      </c>
      <c r="C332" s="6" t="s">
        <v>1065</v>
      </c>
      <c r="D332" s="7" t="s">
        <v>3549</v>
      </c>
      <c r="E332" s="8" t="s">
        <v>508</v>
      </c>
      <c r="F332" s="9" t="s">
        <v>3550</v>
      </c>
      <c r="G332" s="10" t="s">
        <v>36</v>
      </c>
      <c r="H332" s="11">
        <v>2</v>
      </c>
      <c r="I332" s="12" t="s">
        <v>36</v>
      </c>
      <c r="J332" s="13" t="s">
        <v>3551</v>
      </c>
      <c r="K332" s="14" t="s">
        <v>3552</v>
      </c>
      <c r="L332" s="15" t="s">
        <v>3553</v>
      </c>
      <c r="M332" s="16" t="s">
        <v>3554</v>
      </c>
      <c r="N332" s="17" t="s">
        <v>3555</v>
      </c>
      <c r="O332" s="18" t="s">
        <v>3556</v>
      </c>
      <c r="P332" s="19" t="s">
        <v>36</v>
      </c>
      <c r="Q332" s="20" t="s">
        <v>36</v>
      </c>
      <c r="R332" s="21" t="s">
        <v>601</v>
      </c>
      <c r="S332" s="22" t="s">
        <v>36</v>
      </c>
      <c r="T332" s="23" t="s">
        <v>3557</v>
      </c>
      <c r="U332" s="44" t="str">
        <f>HYPERLINK("https://my.pitchbook.com?p=181416-70P", "View people online")</f>
        <v>View people online</v>
      </c>
    </row>
    <row r="333" spans="1:21" x14ac:dyDescent="0.3">
      <c r="A333" s="24" t="s">
        <v>3558</v>
      </c>
      <c r="B333" s="25" t="s">
        <v>3559</v>
      </c>
      <c r="C333" s="26" t="s">
        <v>3560</v>
      </c>
      <c r="D333" s="27" t="s">
        <v>3561</v>
      </c>
      <c r="E333" s="28" t="s">
        <v>86</v>
      </c>
      <c r="F333" s="29" t="s">
        <v>1246</v>
      </c>
      <c r="G333" s="30" t="s">
        <v>36</v>
      </c>
      <c r="H333" s="31">
        <v>2</v>
      </c>
      <c r="I333" s="32" t="s">
        <v>36</v>
      </c>
      <c r="J333" s="33" t="s">
        <v>36</v>
      </c>
      <c r="K333" s="34" t="s">
        <v>36</v>
      </c>
      <c r="L333" s="35" t="s">
        <v>183</v>
      </c>
      <c r="M333" s="36" t="s">
        <v>1247</v>
      </c>
      <c r="N333" s="37" t="s">
        <v>466</v>
      </c>
      <c r="O333" s="38" t="s">
        <v>186</v>
      </c>
      <c r="P333" s="39" t="s">
        <v>50</v>
      </c>
      <c r="Q333" s="40" t="s">
        <v>625</v>
      </c>
      <c r="R333" s="41" t="s">
        <v>35</v>
      </c>
      <c r="S333" s="42" t="s">
        <v>36</v>
      </c>
      <c r="T333" s="43" t="s">
        <v>3562</v>
      </c>
      <c r="U333" s="45" t="str">
        <f>HYPERLINK("https://my.pitchbook.com?p=81183-43P", "View people online")</f>
        <v>View people online</v>
      </c>
    </row>
    <row r="334" spans="1:21" x14ac:dyDescent="0.3">
      <c r="A334" s="4" t="s">
        <v>3563</v>
      </c>
      <c r="B334" s="5" t="s">
        <v>3564</v>
      </c>
      <c r="C334" s="6" t="s">
        <v>3565</v>
      </c>
      <c r="D334" s="7" t="s">
        <v>3566</v>
      </c>
      <c r="E334" s="8" t="s">
        <v>3479</v>
      </c>
      <c r="F334" s="9" t="s">
        <v>3567</v>
      </c>
      <c r="G334" s="10" t="s">
        <v>36</v>
      </c>
      <c r="H334" s="11">
        <v>2</v>
      </c>
      <c r="I334" s="12" t="s">
        <v>36</v>
      </c>
      <c r="J334" s="13" t="s">
        <v>3568</v>
      </c>
      <c r="K334" s="14" t="s">
        <v>3569</v>
      </c>
      <c r="L334" s="15" t="s">
        <v>369</v>
      </c>
      <c r="M334" s="16" t="s">
        <v>3570</v>
      </c>
      <c r="N334" s="17" t="s">
        <v>3571</v>
      </c>
      <c r="O334" s="18" t="s">
        <v>372</v>
      </c>
      <c r="P334" s="19" t="s">
        <v>373</v>
      </c>
      <c r="Q334" s="20" t="s">
        <v>374</v>
      </c>
      <c r="R334" s="21" t="s">
        <v>79</v>
      </c>
      <c r="S334" s="22" t="s">
        <v>36</v>
      </c>
      <c r="T334" s="23" t="s">
        <v>3572</v>
      </c>
      <c r="U334" s="44" t="str">
        <f>HYPERLINK("https://my.pitchbook.com?p=92189-71P", "View people online")</f>
        <v>View people online</v>
      </c>
    </row>
    <row r="335" spans="1:21" x14ac:dyDescent="0.3">
      <c r="A335" s="24" t="s">
        <v>3573</v>
      </c>
      <c r="B335" s="25" t="s">
        <v>3574</v>
      </c>
      <c r="C335" s="26" t="s">
        <v>3575</v>
      </c>
      <c r="D335" s="27" t="s">
        <v>800</v>
      </c>
      <c r="E335" s="28" t="s">
        <v>179</v>
      </c>
      <c r="F335" s="29" t="s">
        <v>3576</v>
      </c>
      <c r="G335" s="30" t="s">
        <v>36</v>
      </c>
      <c r="H335" s="31">
        <v>2</v>
      </c>
      <c r="I335" s="32" t="s">
        <v>36</v>
      </c>
      <c r="J335" s="33" t="s">
        <v>3577</v>
      </c>
      <c r="K335" s="34" t="s">
        <v>3578</v>
      </c>
      <c r="L335" s="35" t="s">
        <v>183</v>
      </c>
      <c r="M335" s="36" t="s">
        <v>3579</v>
      </c>
      <c r="N335" s="37" t="s">
        <v>3580</v>
      </c>
      <c r="O335" s="38" t="s">
        <v>186</v>
      </c>
      <c r="P335" s="39" t="s">
        <v>50</v>
      </c>
      <c r="Q335" s="40" t="s">
        <v>3581</v>
      </c>
      <c r="R335" s="41" t="s">
        <v>35</v>
      </c>
      <c r="S335" s="42" t="s">
        <v>36</v>
      </c>
      <c r="T335" s="43" t="s">
        <v>3582</v>
      </c>
      <c r="U335" s="45" t="str">
        <f>HYPERLINK("https://my.pitchbook.com?p=112553-38P", "View people online")</f>
        <v>View people online</v>
      </c>
    </row>
    <row r="336" spans="1:21" x14ac:dyDescent="0.3">
      <c r="A336" s="4" t="s">
        <v>3583</v>
      </c>
      <c r="B336" s="5" t="s">
        <v>3584</v>
      </c>
      <c r="C336" s="6" t="s">
        <v>3585</v>
      </c>
      <c r="D336" s="7" t="s">
        <v>3586</v>
      </c>
      <c r="E336" s="8" t="s">
        <v>689</v>
      </c>
      <c r="F336" s="9" t="s">
        <v>3587</v>
      </c>
      <c r="G336" s="10">
        <v>2</v>
      </c>
      <c r="H336" s="11">
        <v>2</v>
      </c>
      <c r="I336" s="12" t="s">
        <v>36</v>
      </c>
      <c r="J336" s="13" t="s">
        <v>3588</v>
      </c>
      <c r="K336" s="14" t="s">
        <v>3589</v>
      </c>
      <c r="L336" s="15" t="s">
        <v>3590</v>
      </c>
      <c r="M336" s="16" t="s">
        <v>3591</v>
      </c>
      <c r="N336" s="17" t="s">
        <v>806</v>
      </c>
      <c r="O336" s="18" t="s">
        <v>3592</v>
      </c>
      <c r="P336" s="19" t="s">
        <v>3239</v>
      </c>
      <c r="Q336" s="20" t="s">
        <v>3593</v>
      </c>
      <c r="R336" s="21" t="s">
        <v>35</v>
      </c>
      <c r="S336" s="22" t="s">
        <v>36</v>
      </c>
      <c r="T336" s="23" t="s">
        <v>3594</v>
      </c>
      <c r="U336" s="44" t="str">
        <f>HYPERLINK("https://my.pitchbook.com?p=224592-13P", "View people online")</f>
        <v>View people online</v>
      </c>
    </row>
    <row r="337" spans="1:21" x14ac:dyDescent="0.3">
      <c r="A337" s="24" t="s">
        <v>3595</v>
      </c>
      <c r="B337" s="25" t="s">
        <v>3596</v>
      </c>
      <c r="C337" s="26" t="s">
        <v>3597</v>
      </c>
      <c r="D337" s="27" t="s">
        <v>3598</v>
      </c>
      <c r="E337" s="28" t="s">
        <v>3599</v>
      </c>
      <c r="F337" s="29" t="s">
        <v>3600</v>
      </c>
      <c r="G337" s="30" t="s">
        <v>36</v>
      </c>
      <c r="H337" s="31">
        <v>2</v>
      </c>
      <c r="I337" s="32" t="s">
        <v>36</v>
      </c>
      <c r="J337" s="33" t="s">
        <v>3601</v>
      </c>
      <c r="K337" s="34" t="s">
        <v>3602</v>
      </c>
      <c r="L337" s="35" t="s">
        <v>1404</v>
      </c>
      <c r="M337" s="36" t="s">
        <v>3603</v>
      </c>
      <c r="N337" s="37" t="s">
        <v>320</v>
      </c>
      <c r="O337" s="38" t="s">
        <v>1407</v>
      </c>
      <c r="P337" s="39" t="s">
        <v>50</v>
      </c>
      <c r="Q337" s="40" t="s">
        <v>1562</v>
      </c>
      <c r="R337" s="41" t="s">
        <v>35</v>
      </c>
      <c r="S337" s="42" t="s">
        <v>36</v>
      </c>
      <c r="T337" s="43" t="s">
        <v>3604</v>
      </c>
      <c r="U337" s="45" t="str">
        <f>HYPERLINK("https://my.pitchbook.com?p=53955-19P", "View people online")</f>
        <v>View people online</v>
      </c>
    </row>
    <row r="338" spans="1:21" x14ac:dyDescent="0.3">
      <c r="A338" s="4" t="s">
        <v>3605</v>
      </c>
      <c r="B338" s="5" t="s">
        <v>3606</v>
      </c>
      <c r="C338" s="6" t="s">
        <v>3607</v>
      </c>
      <c r="D338" s="7" t="s">
        <v>3608</v>
      </c>
      <c r="E338" s="8" t="s">
        <v>86</v>
      </c>
      <c r="F338" s="9" t="s">
        <v>3609</v>
      </c>
      <c r="G338" s="10" t="s">
        <v>36</v>
      </c>
      <c r="H338" s="11">
        <v>2</v>
      </c>
      <c r="I338" s="12">
        <v>1</v>
      </c>
      <c r="J338" s="13" t="s">
        <v>3610</v>
      </c>
      <c r="K338" s="14" t="s">
        <v>36</v>
      </c>
      <c r="L338" s="15" t="s">
        <v>2103</v>
      </c>
      <c r="M338" s="16" t="s">
        <v>3611</v>
      </c>
      <c r="N338" s="17" t="s">
        <v>36</v>
      </c>
      <c r="O338" s="18" t="s">
        <v>2105</v>
      </c>
      <c r="P338" s="19" t="s">
        <v>1115</v>
      </c>
      <c r="Q338" s="20" t="s">
        <v>2106</v>
      </c>
      <c r="R338" s="21" t="s">
        <v>35</v>
      </c>
      <c r="S338" s="22" t="s">
        <v>36</v>
      </c>
      <c r="T338" s="23" t="s">
        <v>3612</v>
      </c>
      <c r="U338" s="44" t="str">
        <f>HYPERLINK("https://my.pitchbook.com?p=48809-53P", "View people online")</f>
        <v>View people online</v>
      </c>
    </row>
    <row r="339" spans="1:21" x14ac:dyDescent="0.3">
      <c r="A339" s="24" t="s">
        <v>3613</v>
      </c>
      <c r="B339" s="25" t="s">
        <v>3614</v>
      </c>
      <c r="C339" s="26" t="s">
        <v>3615</v>
      </c>
      <c r="D339" s="27" t="s">
        <v>3616</v>
      </c>
      <c r="E339" s="28" t="s">
        <v>140</v>
      </c>
      <c r="F339" s="29" t="s">
        <v>3617</v>
      </c>
      <c r="G339" s="30">
        <v>2</v>
      </c>
      <c r="H339" s="31">
        <v>2</v>
      </c>
      <c r="I339" s="32" t="s">
        <v>36</v>
      </c>
      <c r="J339" s="33" t="s">
        <v>3618</v>
      </c>
      <c r="K339" s="34" t="s">
        <v>3619</v>
      </c>
      <c r="L339" s="35" t="s">
        <v>183</v>
      </c>
      <c r="M339" s="36" t="s">
        <v>3620</v>
      </c>
      <c r="N339" s="37" t="s">
        <v>36</v>
      </c>
      <c r="O339" s="38" t="s">
        <v>186</v>
      </c>
      <c r="P339" s="39" t="s">
        <v>50</v>
      </c>
      <c r="Q339" s="40" t="s">
        <v>3621</v>
      </c>
      <c r="R339" s="41" t="s">
        <v>35</v>
      </c>
      <c r="S339" s="42" t="s">
        <v>36</v>
      </c>
      <c r="T339" s="43" t="s">
        <v>3622</v>
      </c>
      <c r="U339" s="45" t="str">
        <f>HYPERLINK("https://my.pitchbook.com?p=130055-68P", "View people online")</f>
        <v>View people online</v>
      </c>
    </row>
    <row r="340" spans="1:21" x14ac:dyDescent="0.3">
      <c r="A340" s="4" t="s">
        <v>3623</v>
      </c>
      <c r="B340" s="5" t="s">
        <v>3624</v>
      </c>
      <c r="C340" s="6" t="s">
        <v>3625</v>
      </c>
      <c r="D340" s="7" t="s">
        <v>3626</v>
      </c>
      <c r="E340" s="8" t="s">
        <v>179</v>
      </c>
      <c r="F340" s="9" t="s">
        <v>3627</v>
      </c>
      <c r="G340" s="10" t="s">
        <v>36</v>
      </c>
      <c r="H340" s="11">
        <v>2</v>
      </c>
      <c r="I340" s="12" t="s">
        <v>36</v>
      </c>
      <c r="J340" s="13" t="s">
        <v>36</v>
      </c>
      <c r="K340" s="14" t="s">
        <v>3628</v>
      </c>
      <c r="L340" s="15" t="s">
        <v>183</v>
      </c>
      <c r="M340" s="16" t="s">
        <v>3629</v>
      </c>
      <c r="N340" s="17" t="s">
        <v>36</v>
      </c>
      <c r="O340" s="18" t="s">
        <v>186</v>
      </c>
      <c r="P340" s="19" t="s">
        <v>50</v>
      </c>
      <c r="Q340" s="20" t="s">
        <v>625</v>
      </c>
      <c r="R340" s="21" t="s">
        <v>35</v>
      </c>
      <c r="S340" s="22" t="s">
        <v>36</v>
      </c>
      <c r="T340" s="23" t="s">
        <v>3630</v>
      </c>
      <c r="U340" s="44" t="str">
        <f>HYPERLINK("https://my.pitchbook.com?p=36483-94P", "View people online")</f>
        <v>View people online</v>
      </c>
    </row>
    <row r="341" spans="1:21" x14ac:dyDescent="0.3">
      <c r="A341" s="24" t="s">
        <v>3631</v>
      </c>
      <c r="B341" s="25" t="s">
        <v>3632</v>
      </c>
      <c r="C341" s="26" t="s">
        <v>3633</v>
      </c>
      <c r="D341" s="27" t="s">
        <v>1021</v>
      </c>
      <c r="E341" s="28" t="s">
        <v>140</v>
      </c>
      <c r="F341" s="29" t="s">
        <v>3634</v>
      </c>
      <c r="G341" s="30">
        <v>1</v>
      </c>
      <c r="H341" s="31">
        <v>2</v>
      </c>
      <c r="I341" s="32" t="s">
        <v>36</v>
      </c>
      <c r="J341" s="33" t="s">
        <v>3635</v>
      </c>
      <c r="K341" s="34" t="s">
        <v>36</v>
      </c>
      <c r="L341" s="35" t="s">
        <v>3636</v>
      </c>
      <c r="M341" s="36" t="s">
        <v>3637</v>
      </c>
      <c r="N341" s="37" t="s">
        <v>36</v>
      </c>
      <c r="O341" s="38" t="s">
        <v>3638</v>
      </c>
      <c r="P341" s="39" t="s">
        <v>36</v>
      </c>
      <c r="Q341" s="40" t="s">
        <v>3639</v>
      </c>
      <c r="R341" s="41" t="s">
        <v>1261</v>
      </c>
      <c r="S341" s="42" t="s">
        <v>3640</v>
      </c>
      <c r="T341" s="43" t="s">
        <v>3641</v>
      </c>
      <c r="U341" s="45" t="str">
        <f>HYPERLINK("https://my.pitchbook.com?p=57399-94P", "View people online")</f>
        <v>View people online</v>
      </c>
    </row>
    <row r="342" spans="1:21" x14ac:dyDescent="0.3">
      <c r="A342" s="4" t="s">
        <v>3642</v>
      </c>
      <c r="B342" s="5" t="s">
        <v>3643</v>
      </c>
      <c r="C342" s="6" t="s">
        <v>3644</v>
      </c>
      <c r="D342" s="7" t="s">
        <v>1373</v>
      </c>
      <c r="E342" s="8" t="s">
        <v>272</v>
      </c>
      <c r="F342" s="9" t="s">
        <v>3645</v>
      </c>
      <c r="G342" s="10">
        <v>1</v>
      </c>
      <c r="H342" s="11">
        <v>2</v>
      </c>
      <c r="I342" s="12" t="s">
        <v>36</v>
      </c>
      <c r="J342" s="13" t="s">
        <v>36</v>
      </c>
      <c r="K342" s="14" t="s">
        <v>36</v>
      </c>
      <c r="L342" s="15" t="s">
        <v>2052</v>
      </c>
      <c r="M342" s="16" t="s">
        <v>3646</v>
      </c>
      <c r="N342" s="17" t="s">
        <v>3647</v>
      </c>
      <c r="O342" s="18" t="s">
        <v>2055</v>
      </c>
      <c r="P342" s="19" t="s">
        <v>36</v>
      </c>
      <c r="Q342" s="20" t="s">
        <v>3648</v>
      </c>
      <c r="R342" s="21" t="s">
        <v>2055</v>
      </c>
      <c r="S342" s="22" t="s">
        <v>36</v>
      </c>
      <c r="T342" s="23" t="s">
        <v>3649</v>
      </c>
      <c r="U342" s="44" t="str">
        <f>HYPERLINK("https://my.pitchbook.com?p=42822-73P", "View people online")</f>
        <v>View people online</v>
      </c>
    </row>
    <row r="343" spans="1:21" x14ac:dyDescent="0.3">
      <c r="A343" s="24" t="s">
        <v>3650</v>
      </c>
      <c r="B343" s="25" t="s">
        <v>3651</v>
      </c>
      <c r="C343" s="26" t="s">
        <v>3652</v>
      </c>
      <c r="D343" s="27" t="s">
        <v>1889</v>
      </c>
      <c r="E343" s="28" t="s">
        <v>3653</v>
      </c>
      <c r="F343" s="29" t="s">
        <v>3654</v>
      </c>
      <c r="G343" s="30">
        <v>1</v>
      </c>
      <c r="H343" s="31">
        <v>2</v>
      </c>
      <c r="I343" s="32">
        <v>1</v>
      </c>
      <c r="J343" s="33" t="s">
        <v>3655</v>
      </c>
      <c r="K343" s="34" t="s">
        <v>3656</v>
      </c>
      <c r="L343" s="35" t="s">
        <v>131</v>
      </c>
      <c r="M343" s="36" t="s">
        <v>3657</v>
      </c>
      <c r="N343" s="37" t="s">
        <v>3658</v>
      </c>
      <c r="O343" s="38" t="s">
        <v>133</v>
      </c>
      <c r="P343" s="39" t="s">
        <v>50</v>
      </c>
      <c r="Q343" s="40" t="s">
        <v>134</v>
      </c>
      <c r="R343" s="41" t="s">
        <v>35</v>
      </c>
      <c r="S343" s="42" t="s">
        <v>3659</v>
      </c>
      <c r="T343" s="43" t="s">
        <v>3660</v>
      </c>
      <c r="U343" s="45" t="str">
        <f>HYPERLINK("https://my.pitchbook.com?p=51966-82P", "View people online")</f>
        <v>View people online</v>
      </c>
    </row>
    <row r="344" spans="1:21" x14ac:dyDescent="0.3">
      <c r="A344" s="4" t="s">
        <v>3661</v>
      </c>
      <c r="B344" s="5" t="s">
        <v>3662</v>
      </c>
      <c r="C344" s="6" t="s">
        <v>3663</v>
      </c>
      <c r="D344" s="7" t="s">
        <v>3664</v>
      </c>
      <c r="E344" s="8" t="s">
        <v>3665</v>
      </c>
      <c r="F344" s="9" t="s">
        <v>3666</v>
      </c>
      <c r="G344" s="10" t="s">
        <v>36</v>
      </c>
      <c r="H344" s="11">
        <v>2</v>
      </c>
      <c r="I344" s="12">
        <v>1</v>
      </c>
      <c r="J344" s="13" t="s">
        <v>3667</v>
      </c>
      <c r="K344" s="14" t="s">
        <v>3668</v>
      </c>
      <c r="L344" s="15" t="s">
        <v>250</v>
      </c>
      <c r="M344" s="16" t="s">
        <v>3669</v>
      </c>
      <c r="N344" s="17" t="s">
        <v>3670</v>
      </c>
      <c r="O344" s="18" t="s">
        <v>253</v>
      </c>
      <c r="P344" s="19" t="s">
        <v>50</v>
      </c>
      <c r="Q344" s="20" t="s">
        <v>3671</v>
      </c>
      <c r="R344" s="21" t="s">
        <v>35</v>
      </c>
      <c r="S344" s="22" t="s">
        <v>3672</v>
      </c>
      <c r="T344" s="23" t="s">
        <v>3673</v>
      </c>
      <c r="U344" s="44" t="str">
        <f>HYPERLINK("https://my.pitchbook.com?p=183322-90P", "View people online")</f>
        <v>View people online</v>
      </c>
    </row>
    <row r="345" spans="1:21" x14ac:dyDescent="0.3">
      <c r="A345" s="24" t="s">
        <v>3674</v>
      </c>
      <c r="B345" s="25" t="s">
        <v>3675</v>
      </c>
      <c r="C345" s="26" t="s">
        <v>3676</v>
      </c>
      <c r="D345" s="27" t="s">
        <v>3677</v>
      </c>
      <c r="E345" s="28" t="s">
        <v>898</v>
      </c>
      <c r="F345" s="29" t="s">
        <v>3678</v>
      </c>
      <c r="G345" s="30">
        <v>1</v>
      </c>
      <c r="H345" s="31">
        <v>2</v>
      </c>
      <c r="I345" s="32">
        <v>1</v>
      </c>
      <c r="J345" s="33" t="s">
        <v>3679</v>
      </c>
      <c r="K345" s="34" t="s">
        <v>3680</v>
      </c>
      <c r="L345" s="35" t="s">
        <v>183</v>
      </c>
      <c r="M345" s="36" t="s">
        <v>3681</v>
      </c>
      <c r="N345" s="37" t="s">
        <v>36</v>
      </c>
      <c r="O345" s="38" t="s">
        <v>186</v>
      </c>
      <c r="P345" s="39" t="s">
        <v>50</v>
      </c>
      <c r="Q345" s="40" t="s">
        <v>444</v>
      </c>
      <c r="R345" s="41" t="s">
        <v>35</v>
      </c>
      <c r="S345" s="42" t="s">
        <v>36</v>
      </c>
      <c r="T345" s="43" t="s">
        <v>3682</v>
      </c>
      <c r="U345" s="45" t="str">
        <f>HYPERLINK("https://my.pitchbook.com?p=33063-58P", "View people online")</f>
        <v>View people online</v>
      </c>
    </row>
    <row r="346" spans="1:21" x14ac:dyDescent="0.3">
      <c r="A346" s="4" t="s">
        <v>3683</v>
      </c>
      <c r="B346" s="5" t="s">
        <v>3684</v>
      </c>
      <c r="C346" s="6" t="s">
        <v>3685</v>
      </c>
      <c r="D346" s="7" t="s">
        <v>3686</v>
      </c>
      <c r="E346" s="8" t="s">
        <v>86</v>
      </c>
      <c r="F346" s="9" t="s">
        <v>3687</v>
      </c>
      <c r="G346" s="10" t="s">
        <v>36</v>
      </c>
      <c r="H346" s="11">
        <v>2</v>
      </c>
      <c r="I346" s="12" t="s">
        <v>36</v>
      </c>
      <c r="J346" s="13" t="s">
        <v>3688</v>
      </c>
      <c r="K346" s="14" t="s">
        <v>3689</v>
      </c>
      <c r="L346" s="15" t="s">
        <v>157</v>
      </c>
      <c r="M346" s="16" t="s">
        <v>3690</v>
      </c>
      <c r="N346" s="17" t="s">
        <v>2229</v>
      </c>
      <c r="O346" s="18" t="s">
        <v>159</v>
      </c>
      <c r="P346" s="19" t="s">
        <v>50</v>
      </c>
      <c r="Q346" s="20" t="s">
        <v>160</v>
      </c>
      <c r="R346" s="21" t="s">
        <v>35</v>
      </c>
      <c r="S346" s="22" t="s">
        <v>36</v>
      </c>
      <c r="T346" s="23" t="s">
        <v>3691</v>
      </c>
      <c r="U346" s="44" t="str">
        <f>HYPERLINK("https://my.pitchbook.com?p=148011-94P", "View people online")</f>
        <v>View people online</v>
      </c>
    </row>
    <row r="347" spans="1:21" x14ac:dyDescent="0.3">
      <c r="A347" s="24" t="s">
        <v>3692</v>
      </c>
      <c r="B347" s="25" t="s">
        <v>3693</v>
      </c>
      <c r="C347" s="26" t="s">
        <v>3694</v>
      </c>
      <c r="D347" s="27" t="s">
        <v>500</v>
      </c>
      <c r="E347" s="28" t="s">
        <v>3695</v>
      </c>
      <c r="F347" s="29" t="s">
        <v>3696</v>
      </c>
      <c r="G347" s="30">
        <v>1</v>
      </c>
      <c r="H347" s="31">
        <v>2</v>
      </c>
      <c r="I347" s="32">
        <v>1</v>
      </c>
      <c r="J347" s="33" t="s">
        <v>3697</v>
      </c>
      <c r="K347" s="34" t="s">
        <v>3698</v>
      </c>
      <c r="L347" s="35" t="s">
        <v>3553</v>
      </c>
      <c r="M347" s="36" t="s">
        <v>3699</v>
      </c>
      <c r="N347" s="37" t="s">
        <v>3700</v>
      </c>
      <c r="O347" s="38" t="s">
        <v>3556</v>
      </c>
      <c r="P347" s="39" t="s">
        <v>36</v>
      </c>
      <c r="Q347" s="40" t="s">
        <v>3701</v>
      </c>
      <c r="R347" s="41" t="s">
        <v>601</v>
      </c>
      <c r="S347" s="42" t="s">
        <v>3702</v>
      </c>
      <c r="T347" s="43" t="s">
        <v>3703</v>
      </c>
      <c r="U347" s="45" t="str">
        <f>HYPERLINK("https://my.pitchbook.com?p=38426-59P", "View people online")</f>
        <v>View people online</v>
      </c>
    </row>
    <row r="348" spans="1:21" x14ac:dyDescent="0.3">
      <c r="A348" s="4" t="s">
        <v>3704</v>
      </c>
      <c r="B348" s="5" t="s">
        <v>3705</v>
      </c>
      <c r="C348" s="6" t="s">
        <v>3706</v>
      </c>
      <c r="D348" s="7" t="s">
        <v>3707</v>
      </c>
      <c r="E348" s="8" t="s">
        <v>3708</v>
      </c>
      <c r="F348" s="9" t="s">
        <v>3709</v>
      </c>
      <c r="G348" s="10">
        <v>2</v>
      </c>
      <c r="H348" s="11">
        <v>2</v>
      </c>
      <c r="I348" s="12" t="s">
        <v>36</v>
      </c>
      <c r="J348" s="13" t="s">
        <v>3710</v>
      </c>
      <c r="K348" s="14" t="s">
        <v>3711</v>
      </c>
      <c r="L348" s="15" t="s">
        <v>3553</v>
      </c>
      <c r="M348" s="16" t="s">
        <v>3712</v>
      </c>
      <c r="N348" s="17" t="s">
        <v>3713</v>
      </c>
      <c r="O348" s="18" t="s">
        <v>3556</v>
      </c>
      <c r="P348" s="19" t="s">
        <v>36</v>
      </c>
      <c r="Q348" s="20" t="s">
        <v>3701</v>
      </c>
      <c r="R348" s="21" t="s">
        <v>601</v>
      </c>
      <c r="S348" s="22" t="s">
        <v>3714</v>
      </c>
      <c r="T348" s="23" t="s">
        <v>3715</v>
      </c>
      <c r="U348" s="44" t="str">
        <f>HYPERLINK("https://my.pitchbook.com?p=237253-15P", "View people online")</f>
        <v>View people online</v>
      </c>
    </row>
    <row r="349" spans="1:21" x14ac:dyDescent="0.3">
      <c r="A349" s="24" t="s">
        <v>3716</v>
      </c>
      <c r="B349" s="25" t="s">
        <v>3717</v>
      </c>
      <c r="C349" s="26" t="s">
        <v>3718</v>
      </c>
      <c r="D349" s="27" t="s">
        <v>1386</v>
      </c>
      <c r="E349" s="28" t="s">
        <v>1912</v>
      </c>
      <c r="F349" s="29" t="s">
        <v>3719</v>
      </c>
      <c r="G349" s="30" t="s">
        <v>36</v>
      </c>
      <c r="H349" s="31">
        <v>2</v>
      </c>
      <c r="I349" s="32" t="s">
        <v>36</v>
      </c>
      <c r="J349" s="33" t="s">
        <v>36</v>
      </c>
      <c r="K349" s="34" t="s">
        <v>3720</v>
      </c>
      <c r="L349" s="35" t="s">
        <v>464</v>
      </c>
      <c r="M349" s="36" t="s">
        <v>3721</v>
      </c>
      <c r="N349" s="37" t="s">
        <v>3722</v>
      </c>
      <c r="O349" s="38" t="s">
        <v>467</v>
      </c>
      <c r="P349" s="39" t="s">
        <v>468</v>
      </c>
      <c r="Q349" s="40" t="s">
        <v>1167</v>
      </c>
      <c r="R349" s="41" t="s">
        <v>35</v>
      </c>
      <c r="S349" s="42" t="s">
        <v>36</v>
      </c>
      <c r="T349" s="43" t="s">
        <v>3723</v>
      </c>
      <c r="U349" s="45" t="str">
        <f>HYPERLINK("https://my.pitchbook.com?p=137674-45P", "View people online")</f>
        <v>View people online</v>
      </c>
    </row>
    <row r="350" spans="1:21" x14ac:dyDescent="0.3">
      <c r="A350" s="4" t="s">
        <v>3724</v>
      </c>
      <c r="B350" s="5" t="s">
        <v>3725</v>
      </c>
      <c r="C350" s="6" t="s">
        <v>3726</v>
      </c>
      <c r="D350" s="7" t="s">
        <v>3727</v>
      </c>
      <c r="E350" s="8" t="s">
        <v>3473</v>
      </c>
      <c r="F350" s="9" t="s">
        <v>3728</v>
      </c>
      <c r="G350" s="10" t="s">
        <v>36</v>
      </c>
      <c r="H350" s="11">
        <v>2</v>
      </c>
      <c r="I350" s="12" t="s">
        <v>36</v>
      </c>
      <c r="J350" s="13" t="s">
        <v>3729</v>
      </c>
      <c r="K350" s="14" t="s">
        <v>3730</v>
      </c>
      <c r="L350" s="15" t="s">
        <v>3731</v>
      </c>
      <c r="M350" s="16" t="s">
        <v>3732</v>
      </c>
      <c r="N350" s="17" t="s">
        <v>997</v>
      </c>
      <c r="O350" s="18" t="s">
        <v>3733</v>
      </c>
      <c r="P350" s="19" t="s">
        <v>36</v>
      </c>
      <c r="Q350" s="20" t="s">
        <v>3734</v>
      </c>
      <c r="R350" s="21" t="s">
        <v>2986</v>
      </c>
      <c r="S350" s="22" t="s">
        <v>3735</v>
      </c>
      <c r="T350" s="23" t="s">
        <v>3736</v>
      </c>
      <c r="U350" s="44" t="str">
        <f>HYPERLINK("https://my.pitchbook.com?p=42705-73P", "View people online")</f>
        <v>View people online</v>
      </c>
    </row>
    <row r="351" spans="1:21" x14ac:dyDescent="0.3">
      <c r="A351" s="24" t="s">
        <v>3737</v>
      </c>
      <c r="B351" s="25" t="s">
        <v>3738</v>
      </c>
      <c r="C351" s="26" t="s">
        <v>3739</v>
      </c>
      <c r="D351" s="27" t="s">
        <v>3740</v>
      </c>
      <c r="E351" s="28" t="s">
        <v>380</v>
      </c>
      <c r="F351" s="29" t="s">
        <v>3741</v>
      </c>
      <c r="G351" s="30">
        <v>1</v>
      </c>
      <c r="H351" s="31">
        <v>2</v>
      </c>
      <c r="I351" s="32" t="s">
        <v>36</v>
      </c>
      <c r="J351" s="33" t="s">
        <v>3742</v>
      </c>
      <c r="K351" s="34" t="s">
        <v>3743</v>
      </c>
      <c r="L351" s="35" t="s">
        <v>3744</v>
      </c>
      <c r="M351" s="36" t="s">
        <v>3745</v>
      </c>
      <c r="N351" s="37" t="s">
        <v>3746</v>
      </c>
      <c r="O351" s="38" t="s">
        <v>3747</v>
      </c>
      <c r="P351" s="39" t="s">
        <v>3748</v>
      </c>
      <c r="Q351" s="40" t="s">
        <v>36</v>
      </c>
      <c r="R351" s="41" t="s">
        <v>601</v>
      </c>
      <c r="S351" s="42" t="s">
        <v>36</v>
      </c>
      <c r="T351" s="43" t="s">
        <v>3749</v>
      </c>
      <c r="U351" s="45" t="str">
        <f>HYPERLINK("https://my.pitchbook.com?p=176227-12P", "View people online")</f>
        <v>View people online</v>
      </c>
    </row>
    <row r="352" spans="1:21" x14ac:dyDescent="0.3">
      <c r="A352" s="4" t="s">
        <v>3750</v>
      </c>
      <c r="B352" s="5" t="s">
        <v>3751</v>
      </c>
      <c r="C352" s="6" t="s">
        <v>3752</v>
      </c>
      <c r="D352" s="7" t="s">
        <v>3753</v>
      </c>
      <c r="E352" s="8" t="s">
        <v>86</v>
      </c>
      <c r="F352" s="9" t="s">
        <v>3754</v>
      </c>
      <c r="G352" s="10" t="s">
        <v>36</v>
      </c>
      <c r="H352" s="11">
        <v>2</v>
      </c>
      <c r="I352" s="12" t="s">
        <v>36</v>
      </c>
      <c r="J352" s="13" t="s">
        <v>3755</v>
      </c>
      <c r="K352" s="14" t="s">
        <v>3756</v>
      </c>
      <c r="L352" s="15" t="s">
        <v>595</v>
      </c>
      <c r="M352" s="16" t="s">
        <v>3757</v>
      </c>
      <c r="N352" s="17" t="s">
        <v>3758</v>
      </c>
      <c r="O352" s="18" t="s">
        <v>598</v>
      </c>
      <c r="P352" s="19" t="s">
        <v>3759</v>
      </c>
      <c r="Q352" s="20" t="s">
        <v>2744</v>
      </c>
      <c r="R352" s="21" t="s">
        <v>601</v>
      </c>
      <c r="S352" s="22" t="s">
        <v>3760</v>
      </c>
      <c r="T352" s="23" t="s">
        <v>3761</v>
      </c>
      <c r="U352" s="44" t="str">
        <f>HYPERLINK("https://my.pitchbook.com?p=101491-39P", "View people online")</f>
        <v>View people online</v>
      </c>
    </row>
    <row r="353" spans="1:21" x14ac:dyDescent="0.3">
      <c r="A353" s="24" t="s">
        <v>3762</v>
      </c>
      <c r="B353" s="25" t="s">
        <v>3763</v>
      </c>
      <c r="C353" s="26" t="s">
        <v>3764</v>
      </c>
      <c r="D353" s="27" t="s">
        <v>3765</v>
      </c>
      <c r="E353" s="28" t="s">
        <v>1912</v>
      </c>
      <c r="F353" s="29" t="s">
        <v>3766</v>
      </c>
      <c r="G353" s="30" t="s">
        <v>36</v>
      </c>
      <c r="H353" s="31">
        <v>1</v>
      </c>
      <c r="I353" s="32" t="s">
        <v>36</v>
      </c>
      <c r="J353" s="33" t="s">
        <v>3767</v>
      </c>
      <c r="K353" s="34" t="s">
        <v>3768</v>
      </c>
      <c r="L353" s="35" t="s">
        <v>183</v>
      </c>
      <c r="M353" s="36" t="s">
        <v>3769</v>
      </c>
      <c r="N353" s="37" t="s">
        <v>3770</v>
      </c>
      <c r="O353" s="38" t="s">
        <v>186</v>
      </c>
      <c r="P353" s="39" t="s">
        <v>50</v>
      </c>
      <c r="Q353" s="40" t="s">
        <v>444</v>
      </c>
      <c r="R353" s="41" t="s">
        <v>35</v>
      </c>
      <c r="S353" s="42" t="s">
        <v>36</v>
      </c>
      <c r="T353" s="43" t="s">
        <v>3771</v>
      </c>
      <c r="U353" s="45" t="str">
        <f>HYPERLINK("https://my.pitchbook.com?p=61717-33P", "View people online")</f>
        <v>View people online</v>
      </c>
    </row>
    <row r="354" spans="1:21" x14ac:dyDescent="0.3">
      <c r="A354" s="4" t="s">
        <v>3772</v>
      </c>
      <c r="B354" s="5" t="s">
        <v>3773</v>
      </c>
      <c r="C354" s="6" t="s">
        <v>3774</v>
      </c>
      <c r="D354" s="7" t="s">
        <v>2990</v>
      </c>
      <c r="E354" s="8" t="s">
        <v>1912</v>
      </c>
      <c r="F354" s="9" t="s">
        <v>3775</v>
      </c>
      <c r="G354" s="10" t="s">
        <v>36</v>
      </c>
      <c r="H354" s="11">
        <v>1</v>
      </c>
      <c r="I354" s="12" t="s">
        <v>36</v>
      </c>
      <c r="J354" s="13" t="s">
        <v>3776</v>
      </c>
      <c r="K354" s="14" t="s">
        <v>3777</v>
      </c>
      <c r="L354" s="15" t="s">
        <v>169</v>
      </c>
      <c r="M354" s="16" t="s">
        <v>36</v>
      </c>
      <c r="N354" s="17" t="s">
        <v>36</v>
      </c>
      <c r="O354" s="18" t="s">
        <v>172</v>
      </c>
      <c r="P354" s="19" t="s">
        <v>50</v>
      </c>
      <c r="Q354" s="20" t="s">
        <v>36</v>
      </c>
      <c r="R354" s="21" t="s">
        <v>35</v>
      </c>
      <c r="S354" s="22" t="s">
        <v>36</v>
      </c>
      <c r="T354" s="23" t="s">
        <v>3778</v>
      </c>
      <c r="U354" s="44" t="str">
        <f>HYPERLINK("https://my.pitchbook.com?p=90589-42P", "View people online")</f>
        <v>View people online</v>
      </c>
    </row>
    <row r="355" spans="1:21" x14ac:dyDescent="0.3">
      <c r="A355" s="24" t="s">
        <v>3779</v>
      </c>
      <c r="B355" s="25" t="s">
        <v>3780</v>
      </c>
      <c r="C355" s="26" t="s">
        <v>3781</v>
      </c>
      <c r="D355" s="27" t="s">
        <v>731</v>
      </c>
      <c r="E355" s="28" t="s">
        <v>3782</v>
      </c>
      <c r="F355" s="29" t="s">
        <v>3783</v>
      </c>
      <c r="G355" s="30" t="s">
        <v>36</v>
      </c>
      <c r="H355" s="31">
        <v>1</v>
      </c>
      <c r="I355" s="32" t="s">
        <v>36</v>
      </c>
      <c r="J355" s="33" t="s">
        <v>36</v>
      </c>
      <c r="K355" s="34" t="s">
        <v>3784</v>
      </c>
      <c r="L355" s="35" t="s">
        <v>3785</v>
      </c>
      <c r="M355" s="36" t="s">
        <v>3786</v>
      </c>
      <c r="N355" s="37" t="s">
        <v>36</v>
      </c>
      <c r="O355" s="38" t="s">
        <v>3787</v>
      </c>
      <c r="P355" s="39" t="s">
        <v>50</v>
      </c>
      <c r="Q355" s="40" t="s">
        <v>3788</v>
      </c>
      <c r="R355" s="41" t="s">
        <v>35</v>
      </c>
      <c r="S355" s="42" t="s">
        <v>36</v>
      </c>
      <c r="T355" s="43" t="s">
        <v>3789</v>
      </c>
      <c r="U355" s="45" t="str">
        <f>HYPERLINK("https://my.pitchbook.com?p=245727-55P", "View people online")</f>
        <v>View people online</v>
      </c>
    </row>
    <row r="356" spans="1:21" x14ac:dyDescent="0.3">
      <c r="A356" s="4" t="s">
        <v>3790</v>
      </c>
      <c r="B356" s="5" t="s">
        <v>3791</v>
      </c>
      <c r="C356" s="6" t="s">
        <v>3792</v>
      </c>
      <c r="D356" s="7" t="s">
        <v>731</v>
      </c>
      <c r="E356" s="8" t="s">
        <v>3793</v>
      </c>
      <c r="F356" s="9" t="s">
        <v>3794</v>
      </c>
      <c r="G356" s="10">
        <v>1</v>
      </c>
      <c r="H356" s="11">
        <v>1</v>
      </c>
      <c r="I356" s="12" t="s">
        <v>36</v>
      </c>
      <c r="J356" s="13" t="s">
        <v>3795</v>
      </c>
      <c r="K356" s="14" t="s">
        <v>3796</v>
      </c>
      <c r="L356" s="15" t="s">
        <v>3797</v>
      </c>
      <c r="M356" s="16" t="s">
        <v>3798</v>
      </c>
      <c r="N356" s="17" t="s">
        <v>36</v>
      </c>
      <c r="O356" s="18" t="s">
        <v>3799</v>
      </c>
      <c r="P356" s="19" t="s">
        <v>36</v>
      </c>
      <c r="Q356" s="20" t="s">
        <v>3800</v>
      </c>
      <c r="R356" s="21" t="s">
        <v>2503</v>
      </c>
      <c r="S356" s="22" t="s">
        <v>36</v>
      </c>
      <c r="T356" s="23" t="s">
        <v>3801</v>
      </c>
      <c r="U356" s="44" t="str">
        <f>HYPERLINK("https://my.pitchbook.com?p=182538-28P", "View people online")</f>
        <v>View people online</v>
      </c>
    </row>
    <row r="357" spans="1:21" x14ac:dyDescent="0.3">
      <c r="A357" s="24" t="s">
        <v>3802</v>
      </c>
      <c r="B357" s="25" t="s">
        <v>3803</v>
      </c>
      <c r="C357" s="26" t="s">
        <v>3804</v>
      </c>
      <c r="D357" s="27" t="s">
        <v>731</v>
      </c>
      <c r="E357" s="28" t="s">
        <v>179</v>
      </c>
      <c r="F357" s="29" t="s">
        <v>3805</v>
      </c>
      <c r="G357" s="30" t="s">
        <v>36</v>
      </c>
      <c r="H357" s="31">
        <v>1</v>
      </c>
      <c r="I357" s="32" t="s">
        <v>36</v>
      </c>
      <c r="J357" s="33" t="s">
        <v>3806</v>
      </c>
      <c r="K357" s="34" t="s">
        <v>3807</v>
      </c>
      <c r="L357" s="35" t="s">
        <v>295</v>
      </c>
      <c r="M357" s="36" t="s">
        <v>3808</v>
      </c>
      <c r="N357" s="37" t="s">
        <v>3809</v>
      </c>
      <c r="O357" s="38" t="s">
        <v>298</v>
      </c>
      <c r="P357" s="39" t="s">
        <v>50</v>
      </c>
      <c r="Q357" s="40" t="s">
        <v>3810</v>
      </c>
      <c r="R357" s="41" t="s">
        <v>35</v>
      </c>
      <c r="S357" s="42" t="s">
        <v>36</v>
      </c>
      <c r="T357" s="43" t="s">
        <v>3811</v>
      </c>
      <c r="U357" s="45" t="str">
        <f>HYPERLINK("https://my.pitchbook.com?p=63678-52P", "View people online")</f>
        <v>View people online</v>
      </c>
    </row>
    <row r="358" spans="1:21" x14ac:dyDescent="0.3">
      <c r="A358" s="4" t="s">
        <v>3812</v>
      </c>
      <c r="B358" s="5" t="s">
        <v>3813</v>
      </c>
      <c r="C358" s="6" t="s">
        <v>3814</v>
      </c>
      <c r="D358" s="7" t="s">
        <v>731</v>
      </c>
      <c r="E358" s="8" t="s">
        <v>3815</v>
      </c>
      <c r="F358" s="9" t="s">
        <v>3816</v>
      </c>
      <c r="G358" s="10">
        <v>1</v>
      </c>
      <c r="H358" s="11">
        <v>1</v>
      </c>
      <c r="I358" s="12" t="s">
        <v>36</v>
      </c>
      <c r="J358" s="13" t="s">
        <v>3817</v>
      </c>
      <c r="K358" s="14" t="s">
        <v>3818</v>
      </c>
      <c r="L358" s="15" t="s">
        <v>1650</v>
      </c>
      <c r="M358" s="16" t="s">
        <v>3819</v>
      </c>
      <c r="N358" s="17" t="s">
        <v>3820</v>
      </c>
      <c r="O358" s="18" t="s">
        <v>1653</v>
      </c>
      <c r="P358" s="19" t="s">
        <v>50</v>
      </c>
      <c r="Q358" s="20" t="s">
        <v>1654</v>
      </c>
      <c r="R358" s="21" t="s">
        <v>35</v>
      </c>
      <c r="S358" s="22" t="s">
        <v>3821</v>
      </c>
      <c r="T358" s="23" t="s">
        <v>3822</v>
      </c>
      <c r="U358" s="44" t="str">
        <f>HYPERLINK("https://my.pitchbook.com?p=97961-95P", "View people online")</f>
        <v>View people online</v>
      </c>
    </row>
    <row r="359" spans="1:21" x14ac:dyDescent="0.3">
      <c r="A359" s="24" t="s">
        <v>3823</v>
      </c>
      <c r="B359" s="25" t="s">
        <v>3824</v>
      </c>
      <c r="C359" s="26" t="s">
        <v>3825</v>
      </c>
      <c r="D359" s="27" t="s">
        <v>3826</v>
      </c>
      <c r="E359" s="28" t="s">
        <v>179</v>
      </c>
      <c r="F359" s="29" t="s">
        <v>3827</v>
      </c>
      <c r="G359" s="30" t="s">
        <v>36</v>
      </c>
      <c r="H359" s="31">
        <v>1</v>
      </c>
      <c r="I359" s="32" t="s">
        <v>36</v>
      </c>
      <c r="J359" s="33" t="s">
        <v>3828</v>
      </c>
      <c r="K359" s="34" t="s">
        <v>3829</v>
      </c>
      <c r="L359" s="35" t="s">
        <v>183</v>
      </c>
      <c r="M359" s="36" t="s">
        <v>1006</v>
      </c>
      <c r="N359" s="37" t="s">
        <v>1307</v>
      </c>
      <c r="O359" s="38" t="s">
        <v>186</v>
      </c>
      <c r="P359" s="39" t="s">
        <v>50</v>
      </c>
      <c r="Q359" s="40" t="s">
        <v>575</v>
      </c>
      <c r="R359" s="41" t="s">
        <v>35</v>
      </c>
      <c r="S359" s="42" t="s">
        <v>36</v>
      </c>
      <c r="T359" s="43" t="s">
        <v>3830</v>
      </c>
      <c r="U359" s="45" t="str">
        <f>HYPERLINK("https://my.pitchbook.com?p=128714-23P", "View people online")</f>
        <v>View people online</v>
      </c>
    </row>
    <row r="360" spans="1:21" x14ac:dyDescent="0.3">
      <c r="A360" s="4" t="s">
        <v>3831</v>
      </c>
      <c r="B360" s="5" t="s">
        <v>3832</v>
      </c>
      <c r="C360" s="6" t="s">
        <v>3833</v>
      </c>
      <c r="D360" s="7" t="s">
        <v>3834</v>
      </c>
      <c r="E360" s="8" t="s">
        <v>3835</v>
      </c>
      <c r="F360" s="9" t="s">
        <v>3836</v>
      </c>
      <c r="G360" s="10">
        <v>1</v>
      </c>
      <c r="H360" s="11">
        <v>1</v>
      </c>
      <c r="I360" s="12" t="s">
        <v>36</v>
      </c>
      <c r="J360" s="13" t="s">
        <v>3837</v>
      </c>
      <c r="K360" s="14" t="s">
        <v>3838</v>
      </c>
      <c r="L360" s="15" t="s">
        <v>210</v>
      </c>
      <c r="M360" s="16" t="s">
        <v>3839</v>
      </c>
      <c r="N360" s="17" t="s">
        <v>36</v>
      </c>
      <c r="O360" s="18" t="s">
        <v>213</v>
      </c>
      <c r="P360" s="19" t="s">
        <v>50</v>
      </c>
      <c r="Q360" s="20" t="s">
        <v>454</v>
      </c>
      <c r="R360" s="21" t="s">
        <v>35</v>
      </c>
      <c r="S360" s="22" t="s">
        <v>3840</v>
      </c>
      <c r="T360" s="23" t="s">
        <v>3841</v>
      </c>
      <c r="U360" s="44" t="str">
        <f>HYPERLINK("https://my.pitchbook.com?p=44706-79P", "View people online")</f>
        <v>View people online</v>
      </c>
    </row>
    <row r="361" spans="1:21" x14ac:dyDescent="0.3">
      <c r="A361" s="24" t="s">
        <v>3842</v>
      </c>
      <c r="B361" s="25" t="s">
        <v>3843</v>
      </c>
      <c r="C361" s="26" t="s">
        <v>3844</v>
      </c>
      <c r="D361" s="27" t="s">
        <v>3845</v>
      </c>
      <c r="E361" s="28" t="s">
        <v>1912</v>
      </c>
      <c r="F361" s="29" t="s">
        <v>3846</v>
      </c>
      <c r="G361" s="30" t="s">
        <v>36</v>
      </c>
      <c r="H361" s="31">
        <v>1</v>
      </c>
      <c r="I361" s="32" t="s">
        <v>36</v>
      </c>
      <c r="J361" s="33" t="s">
        <v>3847</v>
      </c>
      <c r="K361" s="34" t="s">
        <v>3848</v>
      </c>
      <c r="L361" s="35" t="s">
        <v>250</v>
      </c>
      <c r="M361" s="36" t="s">
        <v>3849</v>
      </c>
      <c r="N361" s="37" t="s">
        <v>3850</v>
      </c>
      <c r="O361" s="38" t="s">
        <v>253</v>
      </c>
      <c r="P361" s="39" t="s">
        <v>50</v>
      </c>
      <c r="Q361" s="40" t="s">
        <v>3851</v>
      </c>
      <c r="R361" s="41" t="s">
        <v>35</v>
      </c>
      <c r="S361" s="42" t="s">
        <v>36</v>
      </c>
      <c r="T361" s="43" t="s">
        <v>3852</v>
      </c>
      <c r="U361" s="45" t="str">
        <f>HYPERLINK("https://my.pitchbook.com?p=230903-92P", "View people online")</f>
        <v>View people online</v>
      </c>
    </row>
    <row r="362" spans="1:21" x14ac:dyDescent="0.3">
      <c r="A362" s="4" t="s">
        <v>3853</v>
      </c>
      <c r="B362" s="5" t="s">
        <v>3854</v>
      </c>
      <c r="C362" s="6" t="s">
        <v>3855</v>
      </c>
      <c r="D362" s="7" t="s">
        <v>3856</v>
      </c>
      <c r="E362" s="8" t="s">
        <v>1766</v>
      </c>
      <c r="F362" s="9" t="s">
        <v>3857</v>
      </c>
      <c r="G362" s="10" t="s">
        <v>36</v>
      </c>
      <c r="H362" s="11">
        <v>1</v>
      </c>
      <c r="I362" s="12" t="s">
        <v>36</v>
      </c>
      <c r="J362" s="13" t="s">
        <v>3858</v>
      </c>
      <c r="K362" s="14" t="s">
        <v>3859</v>
      </c>
      <c r="L362" s="15" t="s">
        <v>3860</v>
      </c>
      <c r="M362" s="16" t="s">
        <v>3861</v>
      </c>
      <c r="N362" s="17" t="s">
        <v>36</v>
      </c>
      <c r="O362" s="18" t="s">
        <v>3862</v>
      </c>
      <c r="P362" s="19" t="s">
        <v>3863</v>
      </c>
      <c r="Q362" s="20" t="s">
        <v>3864</v>
      </c>
      <c r="R362" s="21" t="s">
        <v>3865</v>
      </c>
      <c r="S362" s="22" t="s">
        <v>36</v>
      </c>
      <c r="T362" s="23" t="s">
        <v>3866</v>
      </c>
      <c r="U362" s="44" t="str">
        <f>HYPERLINK("https://my.pitchbook.com?p=48919-78P", "View people online")</f>
        <v>View people online</v>
      </c>
    </row>
    <row r="363" spans="1:21" x14ac:dyDescent="0.3">
      <c r="A363" s="24" t="s">
        <v>3867</v>
      </c>
      <c r="B363" s="25" t="s">
        <v>3868</v>
      </c>
      <c r="C363" s="26" t="s">
        <v>3869</v>
      </c>
      <c r="D363" s="27" t="s">
        <v>3870</v>
      </c>
      <c r="E363" s="28" t="s">
        <v>1751</v>
      </c>
      <c r="F363" s="29" t="s">
        <v>3871</v>
      </c>
      <c r="G363" s="30">
        <v>1</v>
      </c>
      <c r="H363" s="31">
        <v>1</v>
      </c>
      <c r="I363" s="32" t="s">
        <v>36</v>
      </c>
      <c r="J363" s="33" t="s">
        <v>3872</v>
      </c>
      <c r="K363" s="34" t="s">
        <v>3873</v>
      </c>
      <c r="L363" s="35" t="s">
        <v>477</v>
      </c>
      <c r="M363" s="36" t="s">
        <v>3874</v>
      </c>
      <c r="N363" s="37" t="s">
        <v>3875</v>
      </c>
      <c r="O363" s="38" t="s">
        <v>479</v>
      </c>
      <c r="P363" s="39" t="s">
        <v>50</v>
      </c>
      <c r="Q363" s="40" t="s">
        <v>2409</v>
      </c>
      <c r="R363" s="41" t="s">
        <v>35</v>
      </c>
      <c r="S363" s="42" t="s">
        <v>36</v>
      </c>
      <c r="T363" s="43" t="s">
        <v>3876</v>
      </c>
      <c r="U363" s="45" t="str">
        <f>HYPERLINK("https://my.pitchbook.com?p=98332-93P", "View people online")</f>
        <v>View people online</v>
      </c>
    </row>
    <row r="364" spans="1:21" x14ac:dyDescent="0.3">
      <c r="A364" s="4" t="s">
        <v>3877</v>
      </c>
      <c r="B364" s="5" t="s">
        <v>3878</v>
      </c>
      <c r="C364" s="6" t="s">
        <v>3879</v>
      </c>
      <c r="D364" s="7" t="s">
        <v>3880</v>
      </c>
      <c r="E364" s="8" t="s">
        <v>3479</v>
      </c>
      <c r="F364" s="9" t="s">
        <v>3881</v>
      </c>
      <c r="G364" s="10" t="s">
        <v>36</v>
      </c>
      <c r="H364" s="11">
        <v>1</v>
      </c>
      <c r="I364" s="12" t="s">
        <v>36</v>
      </c>
      <c r="J364" s="13" t="s">
        <v>36</v>
      </c>
      <c r="K364" s="14" t="s">
        <v>3882</v>
      </c>
      <c r="L364" s="15" t="s">
        <v>183</v>
      </c>
      <c r="M364" s="16" t="s">
        <v>3883</v>
      </c>
      <c r="N364" s="17" t="s">
        <v>3884</v>
      </c>
      <c r="O364" s="18" t="s">
        <v>186</v>
      </c>
      <c r="P364" s="19" t="s">
        <v>50</v>
      </c>
      <c r="Q364" s="20" t="s">
        <v>3885</v>
      </c>
      <c r="R364" s="21" t="s">
        <v>35</v>
      </c>
      <c r="S364" s="22" t="s">
        <v>36</v>
      </c>
      <c r="T364" s="23" t="s">
        <v>3886</v>
      </c>
      <c r="U364" s="44" t="str">
        <f>HYPERLINK("https://my.pitchbook.com?p=141924-61P", "View people online")</f>
        <v>View people online</v>
      </c>
    </row>
    <row r="365" spans="1:21" x14ac:dyDescent="0.3">
      <c r="A365" s="24" t="s">
        <v>3887</v>
      </c>
      <c r="B365" s="25" t="s">
        <v>3888</v>
      </c>
      <c r="C365" s="26" t="s">
        <v>3889</v>
      </c>
      <c r="D365" s="27" t="s">
        <v>1958</v>
      </c>
      <c r="E365" s="28" t="s">
        <v>179</v>
      </c>
      <c r="F365" s="29" t="s">
        <v>3890</v>
      </c>
      <c r="G365" s="30" t="s">
        <v>36</v>
      </c>
      <c r="H365" s="31">
        <v>1</v>
      </c>
      <c r="I365" s="32" t="s">
        <v>36</v>
      </c>
      <c r="J365" s="33" t="s">
        <v>36</v>
      </c>
      <c r="K365" s="34" t="s">
        <v>36</v>
      </c>
      <c r="L365" s="35" t="s">
        <v>703</v>
      </c>
      <c r="M365" s="36" t="s">
        <v>3891</v>
      </c>
      <c r="N365" s="37" t="s">
        <v>3892</v>
      </c>
      <c r="O365" s="38" t="s">
        <v>706</v>
      </c>
      <c r="P365" s="39" t="s">
        <v>468</v>
      </c>
      <c r="Q365" s="40" t="s">
        <v>3893</v>
      </c>
      <c r="R365" s="41" t="s">
        <v>35</v>
      </c>
      <c r="S365" s="42" t="s">
        <v>36</v>
      </c>
      <c r="T365" s="43" t="s">
        <v>3894</v>
      </c>
      <c r="U365" s="45" t="str">
        <f>HYPERLINK("https://my.pitchbook.com?p=47787-13P", "View people online")</f>
        <v>View people online</v>
      </c>
    </row>
    <row r="366" spans="1:21" x14ac:dyDescent="0.3">
      <c r="A366" s="4" t="s">
        <v>3895</v>
      </c>
      <c r="B366" s="5" t="s">
        <v>3896</v>
      </c>
      <c r="C366" s="6" t="s">
        <v>3897</v>
      </c>
      <c r="D366" s="7" t="s">
        <v>3898</v>
      </c>
      <c r="E366" s="8" t="s">
        <v>314</v>
      </c>
      <c r="F366" s="9" t="s">
        <v>3899</v>
      </c>
      <c r="G366" s="10" t="s">
        <v>36</v>
      </c>
      <c r="H366" s="11">
        <v>1</v>
      </c>
      <c r="I366" s="12" t="s">
        <v>36</v>
      </c>
      <c r="J366" s="13" t="s">
        <v>3900</v>
      </c>
      <c r="K366" s="14" t="s">
        <v>3901</v>
      </c>
      <c r="L366" s="15" t="s">
        <v>157</v>
      </c>
      <c r="M366" s="16" t="s">
        <v>3902</v>
      </c>
      <c r="N366" s="17" t="s">
        <v>3903</v>
      </c>
      <c r="O366" s="18" t="s">
        <v>159</v>
      </c>
      <c r="P366" s="19" t="s">
        <v>50</v>
      </c>
      <c r="Q366" s="20" t="s">
        <v>160</v>
      </c>
      <c r="R366" s="21" t="s">
        <v>35</v>
      </c>
      <c r="S366" s="22" t="s">
        <v>36</v>
      </c>
      <c r="T366" s="23" t="s">
        <v>3904</v>
      </c>
      <c r="U366" s="44" t="str">
        <f>HYPERLINK("https://my.pitchbook.com?p=44125-12P", "View people online")</f>
        <v>View people online</v>
      </c>
    </row>
    <row r="367" spans="1:21" x14ac:dyDescent="0.3">
      <c r="A367" s="24" t="s">
        <v>3905</v>
      </c>
      <c r="B367" s="25" t="s">
        <v>3906</v>
      </c>
      <c r="C367" s="26" t="s">
        <v>3907</v>
      </c>
      <c r="D367" s="27" t="s">
        <v>3908</v>
      </c>
      <c r="E367" s="28" t="s">
        <v>1162</v>
      </c>
      <c r="F367" s="29" t="s">
        <v>3909</v>
      </c>
      <c r="G367" s="30">
        <v>1</v>
      </c>
      <c r="H367" s="31">
        <v>1</v>
      </c>
      <c r="I367" s="32" t="s">
        <v>36</v>
      </c>
      <c r="J367" s="33" t="s">
        <v>3910</v>
      </c>
      <c r="K367" s="34" t="s">
        <v>3911</v>
      </c>
      <c r="L367" s="35" t="s">
        <v>1404</v>
      </c>
      <c r="M367" s="36" t="s">
        <v>3912</v>
      </c>
      <c r="N367" s="37" t="s">
        <v>3913</v>
      </c>
      <c r="O367" s="38" t="s">
        <v>1407</v>
      </c>
      <c r="P367" s="39" t="s">
        <v>50</v>
      </c>
      <c r="Q367" s="40" t="s">
        <v>1562</v>
      </c>
      <c r="R367" s="41" t="s">
        <v>35</v>
      </c>
      <c r="S367" s="42" t="s">
        <v>36</v>
      </c>
      <c r="T367" s="43" t="s">
        <v>3914</v>
      </c>
      <c r="U367" s="45" t="str">
        <f>HYPERLINK("https://my.pitchbook.com?p=103872-52P", "View people online")</f>
        <v>View people online</v>
      </c>
    </row>
    <row r="368" spans="1:21" x14ac:dyDescent="0.3">
      <c r="A368" s="4" t="s">
        <v>3915</v>
      </c>
      <c r="B368" s="5" t="s">
        <v>3916</v>
      </c>
      <c r="C368" s="6" t="s">
        <v>3917</v>
      </c>
      <c r="D368" s="7" t="s">
        <v>3918</v>
      </c>
      <c r="E368" s="8" t="s">
        <v>1322</v>
      </c>
      <c r="F368" s="9" t="s">
        <v>3919</v>
      </c>
      <c r="G368" s="10" t="s">
        <v>36</v>
      </c>
      <c r="H368" s="11">
        <v>1</v>
      </c>
      <c r="I368" s="12" t="s">
        <v>36</v>
      </c>
      <c r="J368" s="13" t="s">
        <v>3920</v>
      </c>
      <c r="K368" s="14" t="s">
        <v>3921</v>
      </c>
      <c r="L368" s="15" t="s">
        <v>397</v>
      </c>
      <c r="M368" s="16" t="s">
        <v>3922</v>
      </c>
      <c r="N368" s="17" t="s">
        <v>3923</v>
      </c>
      <c r="O368" s="18" t="s">
        <v>400</v>
      </c>
      <c r="P368" s="19" t="s">
        <v>400</v>
      </c>
      <c r="Q368" s="20" t="s">
        <v>1725</v>
      </c>
      <c r="R368" s="21" t="s">
        <v>35</v>
      </c>
      <c r="S368" s="22" t="s">
        <v>36</v>
      </c>
      <c r="T368" s="23" t="s">
        <v>3924</v>
      </c>
      <c r="U368" s="44" t="str">
        <f>HYPERLINK("https://my.pitchbook.com?p=236225-62P", "View people online")</f>
        <v>View people online</v>
      </c>
    </row>
    <row r="369" spans="1:21" x14ac:dyDescent="0.3">
      <c r="A369" s="24" t="s">
        <v>3925</v>
      </c>
      <c r="B369" s="25" t="s">
        <v>3926</v>
      </c>
      <c r="C369" s="26" t="s">
        <v>3927</v>
      </c>
      <c r="D369" s="27" t="s">
        <v>741</v>
      </c>
      <c r="E369" s="28" t="s">
        <v>340</v>
      </c>
      <c r="F369" s="29" t="s">
        <v>3928</v>
      </c>
      <c r="G369" s="30">
        <v>1</v>
      </c>
      <c r="H369" s="31">
        <v>1</v>
      </c>
      <c r="I369" s="32" t="s">
        <v>36</v>
      </c>
      <c r="J369" s="33" t="s">
        <v>3929</v>
      </c>
      <c r="K369" s="34" t="s">
        <v>36</v>
      </c>
      <c r="L369" s="35" t="s">
        <v>3930</v>
      </c>
      <c r="M369" s="36" t="s">
        <v>3931</v>
      </c>
      <c r="N369" s="37" t="s">
        <v>3932</v>
      </c>
      <c r="O369" s="38" t="s">
        <v>3933</v>
      </c>
      <c r="P369" s="39" t="s">
        <v>50</v>
      </c>
      <c r="Q369" s="40" t="s">
        <v>3934</v>
      </c>
      <c r="R369" s="41" t="s">
        <v>35</v>
      </c>
      <c r="S369" s="42" t="s">
        <v>3935</v>
      </c>
      <c r="T369" s="43" t="s">
        <v>3936</v>
      </c>
      <c r="U369" s="45" t="str">
        <f>HYPERLINK("https://my.pitchbook.com?p=35912-26P", "View people online")</f>
        <v>View people online</v>
      </c>
    </row>
    <row r="370" spans="1:21" x14ac:dyDescent="0.3">
      <c r="A370" s="4" t="s">
        <v>3937</v>
      </c>
      <c r="B370" s="5" t="s">
        <v>3938</v>
      </c>
      <c r="C370" s="6" t="s">
        <v>3939</v>
      </c>
      <c r="D370" s="7" t="s">
        <v>3940</v>
      </c>
      <c r="E370" s="8" t="s">
        <v>179</v>
      </c>
      <c r="F370" s="9" t="s">
        <v>3941</v>
      </c>
      <c r="G370" s="10" t="s">
        <v>36</v>
      </c>
      <c r="H370" s="11">
        <v>1</v>
      </c>
      <c r="I370" s="12" t="s">
        <v>36</v>
      </c>
      <c r="J370" s="13" t="s">
        <v>3942</v>
      </c>
      <c r="K370" s="14" t="s">
        <v>36</v>
      </c>
      <c r="L370" s="15" t="s">
        <v>3943</v>
      </c>
      <c r="M370" s="16" t="s">
        <v>3944</v>
      </c>
      <c r="N370" s="17" t="s">
        <v>514</v>
      </c>
      <c r="O370" s="18" t="s">
        <v>3945</v>
      </c>
      <c r="P370" s="19" t="s">
        <v>2962</v>
      </c>
      <c r="Q370" s="20" t="s">
        <v>3946</v>
      </c>
      <c r="R370" s="21" t="s">
        <v>35</v>
      </c>
      <c r="S370" s="22" t="s">
        <v>36</v>
      </c>
      <c r="T370" s="23" t="s">
        <v>3947</v>
      </c>
      <c r="U370" s="44" t="str">
        <f>HYPERLINK("https://my.pitchbook.com?p=75613-15P", "View people online")</f>
        <v>View people online</v>
      </c>
    </row>
    <row r="371" spans="1:21" x14ac:dyDescent="0.3">
      <c r="A371" s="24" t="s">
        <v>3948</v>
      </c>
      <c r="B371" s="25" t="s">
        <v>3949</v>
      </c>
      <c r="C371" s="26" t="s">
        <v>3950</v>
      </c>
      <c r="D371" s="27" t="s">
        <v>3951</v>
      </c>
      <c r="E371" s="28" t="s">
        <v>3952</v>
      </c>
      <c r="F371" s="29" t="s">
        <v>3953</v>
      </c>
      <c r="G371" s="30">
        <v>1</v>
      </c>
      <c r="H371" s="31">
        <v>1</v>
      </c>
      <c r="I371" s="32" t="s">
        <v>36</v>
      </c>
      <c r="J371" s="33" t="s">
        <v>36</v>
      </c>
      <c r="K371" s="34" t="s">
        <v>3954</v>
      </c>
      <c r="L371" s="35" t="s">
        <v>210</v>
      </c>
      <c r="M371" s="36" t="s">
        <v>3955</v>
      </c>
      <c r="N371" s="37" t="s">
        <v>36</v>
      </c>
      <c r="O371" s="38" t="s">
        <v>213</v>
      </c>
      <c r="P371" s="39" t="s">
        <v>50</v>
      </c>
      <c r="Q371" s="40" t="s">
        <v>214</v>
      </c>
      <c r="R371" s="41" t="s">
        <v>35</v>
      </c>
      <c r="S371" s="42" t="s">
        <v>36</v>
      </c>
      <c r="T371" s="43" t="s">
        <v>3956</v>
      </c>
      <c r="U371" s="45" t="str">
        <f>HYPERLINK("https://my.pitchbook.com?p=192959-92P", "View people online")</f>
        <v>View people online</v>
      </c>
    </row>
    <row r="372" spans="1:21" x14ac:dyDescent="0.3">
      <c r="A372" s="4" t="s">
        <v>3957</v>
      </c>
      <c r="B372" s="5" t="s">
        <v>3958</v>
      </c>
      <c r="C372" s="6" t="s">
        <v>3959</v>
      </c>
      <c r="D372" s="7" t="s">
        <v>3960</v>
      </c>
      <c r="E372" s="8" t="s">
        <v>3961</v>
      </c>
      <c r="F372" s="9" t="s">
        <v>3962</v>
      </c>
      <c r="G372" s="10" t="s">
        <v>36</v>
      </c>
      <c r="H372" s="11">
        <v>1</v>
      </c>
      <c r="I372" s="12" t="s">
        <v>36</v>
      </c>
      <c r="J372" s="13" t="s">
        <v>3963</v>
      </c>
      <c r="K372" s="14" t="s">
        <v>3964</v>
      </c>
      <c r="L372" s="15" t="s">
        <v>183</v>
      </c>
      <c r="M372" s="16" t="s">
        <v>3965</v>
      </c>
      <c r="N372" s="17" t="s">
        <v>3966</v>
      </c>
      <c r="O372" s="18" t="s">
        <v>186</v>
      </c>
      <c r="P372" s="19" t="s">
        <v>50</v>
      </c>
      <c r="Q372" s="20" t="s">
        <v>718</v>
      </c>
      <c r="R372" s="21" t="s">
        <v>35</v>
      </c>
      <c r="S372" s="22" t="s">
        <v>36</v>
      </c>
      <c r="T372" s="23" t="s">
        <v>3967</v>
      </c>
      <c r="U372" s="44" t="str">
        <f>HYPERLINK("https://my.pitchbook.com?p=197215-03P", "View people online")</f>
        <v>View people online</v>
      </c>
    </row>
    <row r="373" spans="1:21" x14ac:dyDescent="0.3">
      <c r="A373" s="24" t="s">
        <v>3968</v>
      </c>
      <c r="B373" s="25" t="s">
        <v>3969</v>
      </c>
      <c r="C373" s="26" t="s">
        <v>3970</v>
      </c>
      <c r="D373" s="27" t="s">
        <v>3960</v>
      </c>
      <c r="E373" s="28" t="s">
        <v>942</v>
      </c>
      <c r="F373" s="29" t="s">
        <v>3962</v>
      </c>
      <c r="G373" s="30" t="s">
        <v>36</v>
      </c>
      <c r="H373" s="31">
        <v>1</v>
      </c>
      <c r="I373" s="32" t="s">
        <v>36</v>
      </c>
      <c r="J373" s="33" t="s">
        <v>3963</v>
      </c>
      <c r="K373" s="34" t="s">
        <v>3971</v>
      </c>
      <c r="L373" s="35" t="s">
        <v>183</v>
      </c>
      <c r="M373" s="36" t="s">
        <v>3965</v>
      </c>
      <c r="N373" s="37" t="s">
        <v>3966</v>
      </c>
      <c r="O373" s="38" t="s">
        <v>186</v>
      </c>
      <c r="P373" s="39" t="s">
        <v>50</v>
      </c>
      <c r="Q373" s="40" t="s">
        <v>718</v>
      </c>
      <c r="R373" s="41" t="s">
        <v>35</v>
      </c>
      <c r="S373" s="42" t="s">
        <v>36</v>
      </c>
      <c r="T373" s="43" t="s">
        <v>3972</v>
      </c>
      <c r="U373" s="45" t="str">
        <f>HYPERLINK("https://my.pitchbook.com?p=44342-47P", "View people online")</f>
        <v>View people online</v>
      </c>
    </row>
    <row r="374" spans="1:21" x14ac:dyDescent="0.3">
      <c r="A374" s="4" t="s">
        <v>3973</v>
      </c>
      <c r="B374" s="5" t="s">
        <v>3974</v>
      </c>
      <c r="C374" s="6" t="s">
        <v>3975</v>
      </c>
      <c r="D374" s="7" t="s">
        <v>3976</v>
      </c>
      <c r="E374" s="8" t="s">
        <v>86</v>
      </c>
      <c r="F374" s="9" t="s">
        <v>3977</v>
      </c>
      <c r="G374" s="10" t="s">
        <v>36</v>
      </c>
      <c r="H374" s="11">
        <v>1</v>
      </c>
      <c r="I374" s="12" t="s">
        <v>36</v>
      </c>
      <c r="J374" s="13" t="s">
        <v>3978</v>
      </c>
      <c r="K374" s="14" t="s">
        <v>3979</v>
      </c>
      <c r="L374" s="15" t="s">
        <v>3980</v>
      </c>
      <c r="M374" s="16" t="s">
        <v>3981</v>
      </c>
      <c r="N374" s="17" t="s">
        <v>36</v>
      </c>
      <c r="O374" s="18" t="s">
        <v>3982</v>
      </c>
      <c r="P374" s="19" t="s">
        <v>36</v>
      </c>
      <c r="Q374" s="20" t="s">
        <v>36</v>
      </c>
      <c r="R374" s="21" t="s">
        <v>3983</v>
      </c>
      <c r="S374" s="22" t="s">
        <v>36</v>
      </c>
      <c r="T374" s="23" t="s">
        <v>3984</v>
      </c>
      <c r="U374" s="44" t="str">
        <f>HYPERLINK("https://my.pitchbook.com?p=212189-41P", "View people online")</f>
        <v>View people online</v>
      </c>
    </row>
    <row r="375" spans="1:21" x14ac:dyDescent="0.3">
      <c r="A375" s="24" t="s">
        <v>3985</v>
      </c>
      <c r="B375" s="25" t="s">
        <v>3986</v>
      </c>
      <c r="C375" s="26" t="s">
        <v>3987</v>
      </c>
      <c r="D375" s="27" t="s">
        <v>1979</v>
      </c>
      <c r="E375" s="28" t="s">
        <v>179</v>
      </c>
      <c r="F375" s="29" t="s">
        <v>3988</v>
      </c>
      <c r="G375" s="30" t="s">
        <v>36</v>
      </c>
      <c r="H375" s="31">
        <v>1</v>
      </c>
      <c r="I375" s="32" t="s">
        <v>36</v>
      </c>
      <c r="J375" s="33" t="s">
        <v>36</v>
      </c>
      <c r="K375" s="34" t="s">
        <v>3989</v>
      </c>
      <c r="L375" s="35" t="s">
        <v>183</v>
      </c>
      <c r="M375" s="36" t="s">
        <v>3990</v>
      </c>
      <c r="N375" s="37" t="s">
        <v>36</v>
      </c>
      <c r="O375" s="38" t="s">
        <v>186</v>
      </c>
      <c r="P375" s="39" t="s">
        <v>50</v>
      </c>
      <c r="Q375" s="40" t="s">
        <v>266</v>
      </c>
      <c r="R375" s="41" t="s">
        <v>35</v>
      </c>
      <c r="S375" s="42" t="s">
        <v>36</v>
      </c>
      <c r="T375" s="43" t="s">
        <v>3991</v>
      </c>
      <c r="U375" s="45" t="str">
        <f>HYPERLINK("https://my.pitchbook.com?p=110294-20P", "View people online")</f>
        <v>View people online</v>
      </c>
    </row>
    <row r="376" spans="1:21" x14ac:dyDescent="0.3">
      <c r="A376" s="4" t="s">
        <v>3992</v>
      </c>
      <c r="B376" s="5" t="s">
        <v>3993</v>
      </c>
      <c r="C376" s="6" t="s">
        <v>3994</v>
      </c>
      <c r="D376" s="7" t="s">
        <v>1979</v>
      </c>
      <c r="E376" s="8" t="s">
        <v>3995</v>
      </c>
      <c r="F376" s="9" t="s">
        <v>3996</v>
      </c>
      <c r="G376" s="10" t="s">
        <v>36</v>
      </c>
      <c r="H376" s="11">
        <v>1</v>
      </c>
      <c r="I376" s="12" t="s">
        <v>36</v>
      </c>
      <c r="J376" s="13" t="s">
        <v>3997</v>
      </c>
      <c r="K376" s="14" t="s">
        <v>3998</v>
      </c>
      <c r="L376" s="15" t="s">
        <v>183</v>
      </c>
      <c r="M376" s="16" t="s">
        <v>3999</v>
      </c>
      <c r="N376" s="17" t="s">
        <v>4000</v>
      </c>
      <c r="O376" s="18" t="s">
        <v>186</v>
      </c>
      <c r="P376" s="19" t="s">
        <v>50</v>
      </c>
      <c r="Q376" s="20" t="s">
        <v>3250</v>
      </c>
      <c r="R376" s="21" t="s">
        <v>35</v>
      </c>
      <c r="S376" s="22" t="s">
        <v>36</v>
      </c>
      <c r="T376" s="23" t="s">
        <v>4001</v>
      </c>
      <c r="U376" s="44" t="str">
        <f>HYPERLINK("https://my.pitchbook.com?p=138197-98P", "View people online")</f>
        <v>View people online</v>
      </c>
    </row>
    <row r="377" spans="1:21" x14ac:dyDescent="0.3">
      <c r="A377" s="24" t="s">
        <v>4002</v>
      </c>
      <c r="B377" s="25" t="s">
        <v>4003</v>
      </c>
      <c r="C377" s="26" t="s">
        <v>4004</v>
      </c>
      <c r="D377" s="27" t="s">
        <v>1979</v>
      </c>
      <c r="E377" s="28" t="s">
        <v>1912</v>
      </c>
      <c r="F377" s="29" t="s">
        <v>4005</v>
      </c>
      <c r="G377" s="30" t="s">
        <v>36</v>
      </c>
      <c r="H377" s="31">
        <v>1</v>
      </c>
      <c r="I377" s="32" t="s">
        <v>36</v>
      </c>
      <c r="J377" s="33" t="s">
        <v>36</v>
      </c>
      <c r="K377" s="34" t="s">
        <v>4006</v>
      </c>
      <c r="L377" s="35" t="s">
        <v>183</v>
      </c>
      <c r="M377" s="36" t="s">
        <v>4007</v>
      </c>
      <c r="N377" s="37" t="s">
        <v>36</v>
      </c>
      <c r="O377" s="38" t="s">
        <v>186</v>
      </c>
      <c r="P377" s="39" t="s">
        <v>50</v>
      </c>
      <c r="Q377" s="40" t="s">
        <v>718</v>
      </c>
      <c r="R377" s="41" t="s">
        <v>35</v>
      </c>
      <c r="S377" s="42" t="s">
        <v>36</v>
      </c>
      <c r="T377" s="43" t="s">
        <v>4008</v>
      </c>
      <c r="U377" s="45" t="str">
        <f>HYPERLINK("https://my.pitchbook.com?p=192596-68P", "View people online")</f>
        <v>View people online</v>
      </c>
    </row>
    <row r="378" spans="1:21" x14ac:dyDescent="0.3">
      <c r="A378" s="4" t="s">
        <v>4009</v>
      </c>
      <c r="B378" s="5" t="s">
        <v>4010</v>
      </c>
      <c r="C378" s="6" t="s">
        <v>2620</v>
      </c>
      <c r="D378" s="7" t="s">
        <v>1979</v>
      </c>
      <c r="E378" s="8" t="s">
        <v>314</v>
      </c>
      <c r="F378" s="9" t="s">
        <v>4011</v>
      </c>
      <c r="G378" s="10">
        <v>1</v>
      </c>
      <c r="H378" s="11">
        <v>1</v>
      </c>
      <c r="I378" s="12" t="s">
        <v>36</v>
      </c>
      <c r="J378" s="13" t="s">
        <v>4012</v>
      </c>
      <c r="K378" s="14" t="s">
        <v>4013</v>
      </c>
      <c r="L378" s="15" t="s">
        <v>250</v>
      </c>
      <c r="M378" s="16" t="s">
        <v>4014</v>
      </c>
      <c r="N378" s="17" t="s">
        <v>4015</v>
      </c>
      <c r="O378" s="18" t="s">
        <v>253</v>
      </c>
      <c r="P378" s="19" t="s">
        <v>50</v>
      </c>
      <c r="Q378" s="20" t="s">
        <v>3671</v>
      </c>
      <c r="R378" s="21" t="s">
        <v>35</v>
      </c>
      <c r="S378" s="22" t="s">
        <v>36</v>
      </c>
      <c r="T378" s="23" t="s">
        <v>4016</v>
      </c>
      <c r="U378" s="44" t="str">
        <f>HYPERLINK("https://my.pitchbook.com?p=220206-43P", "View people online")</f>
        <v>View people online</v>
      </c>
    </row>
    <row r="379" spans="1:21" x14ac:dyDescent="0.3">
      <c r="A379" s="24" t="s">
        <v>4017</v>
      </c>
      <c r="B379" s="25" t="s">
        <v>4018</v>
      </c>
      <c r="C379" s="26" t="s">
        <v>4019</v>
      </c>
      <c r="D379" s="27" t="s">
        <v>4020</v>
      </c>
      <c r="E379" s="28" t="s">
        <v>1721</v>
      </c>
      <c r="F379" s="29" t="s">
        <v>4021</v>
      </c>
      <c r="G379" s="30">
        <v>1</v>
      </c>
      <c r="H379" s="31">
        <v>1</v>
      </c>
      <c r="I379" s="32" t="s">
        <v>36</v>
      </c>
      <c r="J379" s="33" t="s">
        <v>36</v>
      </c>
      <c r="K379" s="34" t="s">
        <v>4022</v>
      </c>
      <c r="L379" s="35" t="s">
        <v>1257</v>
      </c>
      <c r="M379" s="36" t="s">
        <v>4023</v>
      </c>
      <c r="N379" s="37" t="s">
        <v>36</v>
      </c>
      <c r="O379" s="38" t="s">
        <v>1259</v>
      </c>
      <c r="P379" s="39" t="s">
        <v>36</v>
      </c>
      <c r="Q379" s="40" t="s">
        <v>4024</v>
      </c>
      <c r="R379" s="41" t="s">
        <v>1261</v>
      </c>
      <c r="S379" s="42" t="s">
        <v>36</v>
      </c>
      <c r="T379" s="43" t="s">
        <v>4025</v>
      </c>
      <c r="U379" s="45" t="str">
        <f>HYPERLINK("https://my.pitchbook.com?p=245819-17P", "View people online")</f>
        <v>View people online</v>
      </c>
    </row>
    <row r="380" spans="1:21" x14ac:dyDescent="0.3">
      <c r="A380" s="4" t="s">
        <v>4026</v>
      </c>
      <c r="B380" s="5" t="s">
        <v>4027</v>
      </c>
      <c r="C380" s="6" t="s">
        <v>561</v>
      </c>
      <c r="D380" s="7" t="s">
        <v>4028</v>
      </c>
      <c r="E380" s="8" t="s">
        <v>4029</v>
      </c>
      <c r="F380" s="9" t="s">
        <v>3022</v>
      </c>
      <c r="G380" s="10" t="s">
        <v>36</v>
      </c>
      <c r="H380" s="11">
        <v>1</v>
      </c>
      <c r="I380" s="12" t="s">
        <v>36</v>
      </c>
      <c r="J380" s="13" t="s">
        <v>36</v>
      </c>
      <c r="K380" s="14" t="s">
        <v>36</v>
      </c>
      <c r="L380" s="15" t="s">
        <v>1404</v>
      </c>
      <c r="M380" s="16" t="s">
        <v>3024</v>
      </c>
      <c r="N380" s="17" t="s">
        <v>36</v>
      </c>
      <c r="O380" s="18" t="s">
        <v>1407</v>
      </c>
      <c r="P380" s="19" t="s">
        <v>50</v>
      </c>
      <c r="Q380" s="20" t="s">
        <v>1417</v>
      </c>
      <c r="R380" s="21" t="s">
        <v>35</v>
      </c>
      <c r="S380" s="22" t="s">
        <v>36</v>
      </c>
      <c r="T380" s="23" t="s">
        <v>4030</v>
      </c>
      <c r="U380" s="44" t="str">
        <f>HYPERLINK("https://my.pitchbook.com?p=208087-57P", "View people online")</f>
        <v>View people online</v>
      </c>
    </row>
    <row r="381" spans="1:21" x14ac:dyDescent="0.3">
      <c r="A381" s="24" t="s">
        <v>4031</v>
      </c>
      <c r="B381" s="25" t="s">
        <v>4032</v>
      </c>
      <c r="C381" s="26" t="s">
        <v>4033</v>
      </c>
      <c r="D381" s="27" t="s">
        <v>4028</v>
      </c>
      <c r="E381" s="28" t="s">
        <v>1108</v>
      </c>
      <c r="F381" s="29" t="s">
        <v>4034</v>
      </c>
      <c r="G381" s="30" t="s">
        <v>36</v>
      </c>
      <c r="H381" s="31">
        <v>1</v>
      </c>
      <c r="I381" s="32" t="s">
        <v>36</v>
      </c>
      <c r="J381" s="33" t="s">
        <v>36</v>
      </c>
      <c r="K381" s="34" t="s">
        <v>4035</v>
      </c>
      <c r="L381" s="35" t="s">
        <v>4036</v>
      </c>
      <c r="M381" s="36" t="s">
        <v>4037</v>
      </c>
      <c r="N381" s="37" t="s">
        <v>4038</v>
      </c>
      <c r="O381" s="38" t="s">
        <v>4039</v>
      </c>
      <c r="P381" s="39" t="s">
        <v>1208</v>
      </c>
      <c r="Q381" s="40" t="s">
        <v>4040</v>
      </c>
      <c r="R381" s="41" t="s">
        <v>1210</v>
      </c>
      <c r="S381" s="42" t="s">
        <v>36</v>
      </c>
      <c r="T381" s="43" t="s">
        <v>4041</v>
      </c>
      <c r="U381" s="45" t="str">
        <f>HYPERLINK("https://my.pitchbook.com?p=107601-67P", "View people online")</f>
        <v>View people online</v>
      </c>
    </row>
    <row r="382" spans="1:21" x14ac:dyDescent="0.3">
      <c r="A382" s="4" t="s">
        <v>4042</v>
      </c>
      <c r="B382" s="5" t="s">
        <v>4043</v>
      </c>
      <c r="C382" s="6" t="s">
        <v>4044</v>
      </c>
      <c r="D382" s="7" t="s">
        <v>4028</v>
      </c>
      <c r="E382" s="8" t="s">
        <v>4045</v>
      </c>
      <c r="F382" s="9" t="s">
        <v>4046</v>
      </c>
      <c r="G382" s="10" t="s">
        <v>36</v>
      </c>
      <c r="H382" s="11">
        <v>1</v>
      </c>
      <c r="I382" s="12" t="s">
        <v>36</v>
      </c>
      <c r="J382" s="13" t="s">
        <v>4047</v>
      </c>
      <c r="K382" s="14" t="s">
        <v>4048</v>
      </c>
      <c r="L382" s="15" t="s">
        <v>4049</v>
      </c>
      <c r="M382" s="16" t="s">
        <v>4050</v>
      </c>
      <c r="N382" s="17" t="s">
        <v>36</v>
      </c>
      <c r="O382" s="18" t="s">
        <v>4051</v>
      </c>
      <c r="P382" s="19" t="s">
        <v>36</v>
      </c>
      <c r="Q382" s="20" t="s">
        <v>4052</v>
      </c>
      <c r="R382" s="21" t="s">
        <v>4053</v>
      </c>
      <c r="S382" s="22" t="s">
        <v>36</v>
      </c>
      <c r="T382" s="23" t="s">
        <v>4054</v>
      </c>
      <c r="U382" s="44" t="str">
        <f>HYPERLINK("https://my.pitchbook.com?p=90393-67P", "View people online")</f>
        <v>View people online</v>
      </c>
    </row>
    <row r="383" spans="1:21" x14ac:dyDescent="0.3">
      <c r="A383" s="24" t="s">
        <v>4055</v>
      </c>
      <c r="B383" s="25" t="s">
        <v>4056</v>
      </c>
      <c r="C383" s="26" t="s">
        <v>4057</v>
      </c>
      <c r="D383" s="27" t="s">
        <v>4058</v>
      </c>
      <c r="E383" s="28" t="s">
        <v>179</v>
      </c>
      <c r="F383" s="29" t="s">
        <v>4059</v>
      </c>
      <c r="G383" s="30" t="s">
        <v>36</v>
      </c>
      <c r="H383" s="31">
        <v>1</v>
      </c>
      <c r="I383" s="32" t="s">
        <v>36</v>
      </c>
      <c r="J383" s="33" t="s">
        <v>36</v>
      </c>
      <c r="K383" s="34" t="s">
        <v>4060</v>
      </c>
      <c r="L383" s="35" t="s">
        <v>4061</v>
      </c>
      <c r="M383" s="36" t="s">
        <v>4062</v>
      </c>
      <c r="N383" s="37" t="s">
        <v>36</v>
      </c>
      <c r="O383" s="38" t="s">
        <v>4063</v>
      </c>
      <c r="P383" s="39" t="s">
        <v>36</v>
      </c>
      <c r="Q383" s="40" t="s">
        <v>4064</v>
      </c>
      <c r="R383" s="41" t="s">
        <v>388</v>
      </c>
      <c r="S383" s="42" t="s">
        <v>36</v>
      </c>
      <c r="T383" s="43" t="s">
        <v>4065</v>
      </c>
      <c r="U383" s="45" t="str">
        <f>HYPERLINK("https://my.pitchbook.com?p=224062-21P", "View people online")</f>
        <v>View people online</v>
      </c>
    </row>
    <row r="384" spans="1:21" x14ac:dyDescent="0.3">
      <c r="A384" s="4" t="s">
        <v>4066</v>
      </c>
      <c r="B384" s="5" t="s">
        <v>4067</v>
      </c>
      <c r="C384" s="6" t="s">
        <v>4068</v>
      </c>
      <c r="D384" s="7" t="s">
        <v>2009</v>
      </c>
      <c r="E384" s="8" t="s">
        <v>42</v>
      </c>
      <c r="F384" s="9" t="s">
        <v>4069</v>
      </c>
      <c r="G384" s="10" t="s">
        <v>36</v>
      </c>
      <c r="H384" s="11">
        <v>1</v>
      </c>
      <c r="I384" s="12" t="s">
        <v>36</v>
      </c>
      <c r="J384" s="13" t="s">
        <v>4070</v>
      </c>
      <c r="K384" s="14" t="s">
        <v>4071</v>
      </c>
      <c r="L384" s="15" t="s">
        <v>183</v>
      </c>
      <c r="M384" s="16" t="s">
        <v>4072</v>
      </c>
      <c r="N384" s="17" t="s">
        <v>36</v>
      </c>
      <c r="O384" s="18" t="s">
        <v>186</v>
      </c>
      <c r="P384" s="19" t="s">
        <v>50</v>
      </c>
      <c r="Q384" s="20" t="s">
        <v>625</v>
      </c>
      <c r="R384" s="21" t="s">
        <v>35</v>
      </c>
      <c r="S384" s="22" t="s">
        <v>36</v>
      </c>
      <c r="T384" s="23" t="s">
        <v>4073</v>
      </c>
      <c r="U384" s="44" t="str">
        <f>HYPERLINK("https://my.pitchbook.com?p=39374-20P", "View people online")</f>
        <v>View people online</v>
      </c>
    </row>
    <row r="385" spans="1:21" x14ac:dyDescent="0.3">
      <c r="A385" s="24" t="s">
        <v>4074</v>
      </c>
      <c r="B385" s="25" t="s">
        <v>4075</v>
      </c>
      <c r="C385" s="26" t="s">
        <v>4076</v>
      </c>
      <c r="D385" s="27" t="s">
        <v>2009</v>
      </c>
      <c r="E385" s="28" t="s">
        <v>4077</v>
      </c>
      <c r="F385" s="29" t="s">
        <v>4078</v>
      </c>
      <c r="G385" s="30" t="s">
        <v>36</v>
      </c>
      <c r="H385" s="31">
        <v>1</v>
      </c>
      <c r="I385" s="32" t="s">
        <v>36</v>
      </c>
      <c r="J385" s="33" t="s">
        <v>4079</v>
      </c>
      <c r="K385" s="34" t="s">
        <v>4080</v>
      </c>
      <c r="L385" s="35" t="s">
        <v>1069</v>
      </c>
      <c r="M385" s="36" t="s">
        <v>4081</v>
      </c>
      <c r="N385" s="37" t="s">
        <v>3159</v>
      </c>
      <c r="O385" s="38" t="s">
        <v>1072</v>
      </c>
      <c r="P385" s="39" t="s">
        <v>50</v>
      </c>
      <c r="Q385" s="40" t="s">
        <v>4082</v>
      </c>
      <c r="R385" s="41" t="s">
        <v>35</v>
      </c>
      <c r="S385" s="42" t="s">
        <v>4083</v>
      </c>
      <c r="T385" s="43" t="s">
        <v>4084</v>
      </c>
      <c r="U385" s="45" t="str">
        <f>HYPERLINK("https://my.pitchbook.com?p=46196-83P", "View people online")</f>
        <v>View people online</v>
      </c>
    </row>
    <row r="386" spans="1:21" x14ac:dyDescent="0.3">
      <c r="A386" s="4" t="s">
        <v>4085</v>
      </c>
      <c r="B386" s="5" t="s">
        <v>4075</v>
      </c>
      <c r="C386" s="6" t="s">
        <v>4076</v>
      </c>
      <c r="D386" s="7" t="s">
        <v>2009</v>
      </c>
      <c r="E386" s="8" t="s">
        <v>86</v>
      </c>
      <c r="F386" s="9" t="s">
        <v>4086</v>
      </c>
      <c r="G386" s="10" t="s">
        <v>36</v>
      </c>
      <c r="H386" s="11">
        <v>1</v>
      </c>
      <c r="I386" s="12" t="s">
        <v>36</v>
      </c>
      <c r="J386" s="13" t="s">
        <v>4087</v>
      </c>
      <c r="K386" s="14" t="s">
        <v>4088</v>
      </c>
      <c r="L386" s="15" t="s">
        <v>477</v>
      </c>
      <c r="M386" s="16" t="s">
        <v>4089</v>
      </c>
      <c r="N386" s="17" t="s">
        <v>1821</v>
      </c>
      <c r="O386" s="18" t="s">
        <v>479</v>
      </c>
      <c r="P386" s="19" t="s">
        <v>50</v>
      </c>
      <c r="Q386" s="20" t="s">
        <v>1953</v>
      </c>
      <c r="R386" s="21" t="s">
        <v>35</v>
      </c>
      <c r="S386" s="22" t="s">
        <v>36</v>
      </c>
      <c r="T386" s="23" t="s">
        <v>4090</v>
      </c>
      <c r="U386" s="44" t="str">
        <f>HYPERLINK("https://my.pitchbook.com?p=146678-50P", "View people online")</f>
        <v>View people online</v>
      </c>
    </row>
    <row r="387" spans="1:21" x14ac:dyDescent="0.3">
      <c r="A387" s="24" t="s">
        <v>4091</v>
      </c>
      <c r="B387" s="25" t="s">
        <v>4092</v>
      </c>
      <c r="C387" s="26" t="s">
        <v>4093</v>
      </c>
      <c r="D387" s="27" t="s">
        <v>2009</v>
      </c>
      <c r="E387" s="28" t="s">
        <v>4094</v>
      </c>
      <c r="F387" s="29" t="s">
        <v>1880</v>
      </c>
      <c r="G387" s="30" t="s">
        <v>36</v>
      </c>
      <c r="H387" s="31">
        <v>1</v>
      </c>
      <c r="I387" s="32" t="s">
        <v>36</v>
      </c>
      <c r="J387" s="33" t="s">
        <v>36</v>
      </c>
      <c r="K387" s="34" t="s">
        <v>4095</v>
      </c>
      <c r="L387" s="35" t="s">
        <v>250</v>
      </c>
      <c r="M387" s="36" t="s">
        <v>1882</v>
      </c>
      <c r="N387" s="37" t="s">
        <v>1883</v>
      </c>
      <c r="O387" s="38" t="s">
        <v>253</v>
      </c>
      <c r="P387" s="39" t="s">
        <v>50</v>
      </c>
      <c r="Q387" s="40" t="s">
        <v>1884</v>
      </c>
      <c r="R387" s="41" t="s">
        <v>35</v>
      </c>
      <c r="S387" s="42" t="s">
        <v>36</v>
      </c>
      <c r="T387" s="43" t="s">
        <v>4096</v>
      </c>
      <c r="U387" s="45" t="str">
        <f>HYPERLINK("https://my.pitchbook.com?p=112928-77P", "View people online")</f>
        <v>View people online</v>
      </c>
    </row>
    <row r="388" spans="1:21" x14ac:dyDescent="0.3">
      <c r="A388" s="4" t="s">
        <v>4097</v>
      </c>
      <c r="B388" s="5" t="s">
        <v>4098</v>
      </c>
      <c r="C388" s="6" t="s">
        <v>4099</v>
      </c>
      <c r="D388" s="7" t="s">
        <v>4100</v>
      </c>
      <c r="E388" s="8" t="s">
        <v>179</v>
      </c>
      <c r="F388" s="9" t="s">
        <v>4101</v>
      </c>
      <c r="G388" s="10" t="s">
        <v>36</v>
      </c>
      <c r="H388" s="11">
        <v>1</v>
      </c>
      <c r="I388" s="12" t="s">
        <v>36</v>
      </c>
      <c r="J388" s="13" t="s">
        <v>4102</v>
      </c>
      <c r="K388" s="14" t="s">
        <v>4103</v>
      </c>
      <c r="L388" s="15" t="s">
        <v>183</v>
      </c>
      <c r="M388" s="16" t="s">
        <v>4104</v>
      </c>
      <c r="N388" s="17" t="s">
        <v>4105</v>
      </c>
      <c r="O388" s="18" t="s">
        <v>186</v>
      </c>
      <c r="P388" s="19" t="s">
        <v>50</v>
      </c>
      <c r="Q388" s="20" t="s">
        <v>4106</v>
      </c>
      <c r="R388" s="21" t="s">
        <v>35</v>
      </c>
      <c r="S388" s="22" t="s">
        <v>36</v>
      </c>
      <c r="T388" s="23" t="s">
        <v>4107</v>
      </c>
      <c r="U388" s="44" t="str">
        <f>HYPERLINK("https://my.pitchbook.com?p=137572-48P", "View people online")</f>
        <v>View people online</v>
      </c>
    </row>
    <row r="389" spans="1:21" x14ac:dyDescent="0.3">
      <c r="A389" s="24" t="s">
        <v>4108</v>
      </c>
      <c r="B389" s="25" t="s">
        <v>4109</v>
      </c>
      <c r="C389" s="26" t="s">
        <v>4110</v>
      </c>
      <c r="D389" s="27" t="s">
        <v>4111</v>
      </c>
      <c r="E389" s="28" t="s">
        <v>4112</v>
      </c>
      <c r="F389" s="29" t="s">
        <v>4113</v>
      </c>
      <c r="G389" s="30" t="s">
        <v>36</v>
      </c>
      <c r="H389" s="31">
        <v>1</v>
      </c>
      <c r="I389" s="32" t="s">
        <v>36</v>
      </c>
      <c r="J389" s="33" t="s">
        <v>4114</v>
      </c>
      <c r="K389" s="34" t="s">
        <v>4115</v>
      </c>
      <c r="L389" s="35" t="s">
        <v>540</v>
      </c>
      <c r="M389" s="36" t="s">
        <v>4116</v>
      </c>
      <c r="N389" s="37" t="s">
        <v>36</v>
      </c>
      <c r="O389" s="38" t="s">
        <v>543</v>
      </c>
      <c r="P389" s="39" t="s">
        <v>544</v>
      </c>
      <c r="Q389" s="40" t="s">
        <v>4117</v>
      </c>
      <c r="R389" s="41" t="s">
        <v>35</v>
      </c>
      <c r="S389" s="42" t="s">
        <v>36</v>
      </c>
      <c r="T389" s="43" t="s">
        <v>4118</v>
      </c>
      <c r="U389" s="45" t="str">
        <f>HYPERLINK("https://my.pitchbook.com?p=184322-62P", "View people online")</f>
        <v>View people online</v>
      </c>
    </row>
    <row r="390" spans="1:21" x14ac:dyDescent="0.3">
      <c r="A390" s="4" t="s">
        <v>4119</v>
      </c>
      <c r="B390" s="5" t="s">
        <v>4120</v>
      </c>
      <c r="C390" s="6" t="s">
        <v>4121</v>
      </c>
      <c r="D390" s="7" t="s">
        <v>4122</v>
      </c>
      <c r="E390" s="8" t="s">
        <v>1108</v>
      </c>
      <c r="F390" s="9" t="s">
        <v>4123</v>
      </c>
      <c r="G390" s="10" t="s">
        <v>36</v>
      </c>
      <c r="H390" s="11">
        <v>1</v>
      </c>
      <c r="I390" s="12" t="s">
        <v>36</v>
      </c>
      <c r="J390" s="13" t="s">
        <v>4124</v>
      </c>
      <c r="K390" s="14" t="s">
        <v>4125</v>
      </c>
      <c r="L390" s="15" t="s">
        <v>157</v>
      </c>
      <c r="M390" s="16" t="s">
        <v>4126</v>
      </c>
      <c r="N390" s="17" t="s">
        <v>4127</v>
      </c>
      <c r="O390" s="18" t="s">
        <v>159</v>
      </c>
      <c r="P390" s="19" t="s">
        <v>50</v>
      </c>
      <c r="Q390" s="20" t="s">
        <v>4128</v>
      </c>
      <c r="R390" s="21" t="s">
        <v>35</v>
      </c>
      <c r="S390" s="22" t="s">
        <v>4129</v>
      </c>
      <c r="T390" s="23" t="s">
        <v>4130</v>
      </c>
      <c r="U390" s="44" t="str">
        <f>HYPERLINK("https://my.pitchbook.com?p=58914-73P", "View people online")</f>
        <v>View people online</v>
      </c>
    </row>
    <row r="391" spans="1:21" x14ac:dyDescent="0.3">
      <c r="A391" s="24" t="s">
        <v>4131</v>
      </c>
      <c r="B391" s="25" t="s">
        <v>4132</v>
      </c>
      <c r="C391" s="26" t="s">
        <v>4133</v>
      </c>
      <c r="D391" s="27" t="s">
        <v>4134</v>
      </c>
      <c r="E391" s="28" t="s">
        <v>4135</v>
      </c>
      <c r="F391" s="29" t="s">
        <v>4136</v>
      </c>
      <c r="G391" s="30" t="s">
        <v>36</v>
      </c>
      <c r="H391" s="31">
        <v>1</v>
      </c>
      <c r="I391" s="32" t="s">
        <v>36</v>
      </c>
      <c r="J391" s="33" t="s">
        <v>4137</v>
      </c>
      <c r="K391" s="34" t="s">
        <v>4138</v>
      </c>
      <c r="L391" s="35" t="s">
        <v>397</v>
      </c>
      <c r="M391" s="36" t="s">
        <v>4139</v>
      </c>
      <c r="N391" s="37" t="s">
        <v>4140</v>
      </c>
      <c r="O391" s="38" t="s">
        <v>400</v>
      </c>
      <c r="P391" s="39" t="s">
        <v>400</v>
      </c>
      <c r="Q391" s="40" t="s">
        <v>4141</v>
      </c>
      <c r="R391" s="41" t="s">
        <v>35</v>
      </c>
      <c r="S391" s="42" t="s">
        <v>4142</v>
      </c>
      <c r="T391" s="43" t="s">
        <v>4143</v>
      </c>
      <c r="U391" s="45" t="str">
        <f>HYPERLINK("https://my.pitchbook.com?p=15411-97P", "View people online")</f>
        <v>View people online</v>
      </c>
    </row>
    <row r="392" spans="1:21" x14ac:dyDescent="0.3">
      <c r="A392" s="4" t="s">
        <v>4144</v>
      </c>
      <c r="B392" s="5" t="s">
        <v>4145</v>
      </c>
      <c r="C392" s="6" t="s">
        <v>4146</v>
      </c>
      <c r="D392" s="7" t="s">
        <v>4147</v>
      </c>
      <c r="E392" s="8" t="s">
        <v>86</v>
      </c>
      <c r="F392" s="9" t="s">
        <v>4148</v>
      </c>
      <c r="G392" s="10" t="s">
        <v>36</v>
      </c>
      <c r="H392" s="11">
        <v>1</v>
      </c>
      <c r="I392" s="12" t="s">
        <v>36</v>
      </c>
      <c r="J392" s="13" t="s">
        <v>36</v>
      </c>
      <c r="K392" s="14" t="s">
        <v>36</v>
      </c>
      <c r="L392" s="15" t="s">
        <v>703</v>
      </c>
      <c r="M392" s="16" t="s">
        <v>4149</v>
      </c>
      <c r="N392" s="17" t="s">
        <v>36</v>
      </c>
      <c r="O392" s="18" t="s">
        <v>706</v>
      </c>
      <c r="P392" s="19" t="s">
        <v>468</v>
      </c>
      <c r="Q392" s="20" t="s">
        <v>4150</v>
      </c>
      <c r="R392" s="21" t="s">
        <v>35</v>
      </c>
      <c r="S392" s="22" t="s">
        <v>36</v>
      </c>
      <c r="T392" s="23" t="s">
        <v>4151</v>
      </c>
      <c r="U392" s="44" t="str">
        <f>HYPERLINK("https://my.pitchbook.com?p=95255-29P", "View people online")</f>
        <v>View people online</v>
      </c>
    </row>
    <row r="393" spans="1:21" x14ac:dyDescent="0.3">
      <c r="A393" s="24" t="s">
        <v>4152</v>
      </c>
      <c r="B393" s="25" t="s">
        <v>4153</v>
      </c>
      <c r="C393" s="26" t="s">
        <v>4154</v>
      </c>
      <c r="D393" s="27" t="s">
        <v>4155</v>
      </c>
      <c r="E393" s="28" t="s">
        <v>128</v>
      </c>
      <c r="F393" s="29" t="s">
        <v>4156</v>
      </c>
      <c r="G393" s="30" t="s">
        <v>36</v>
      </c>
      <c r="H393" s="31">
        <v>1</v>
      </c>
      <c r="I393" s="32" t="s">
        <v>36</v>
      </c>
      <c r="J393" s="33" t="s">
        <v>4157</v>
      </c>
      <c r="K393" s="34" t="s">
        <v>36</v>
      </c>
      <c r="L393" s="35" t="s">
        <v>183</v>
      </c>
      <c r="M393" s="36" t="s">
        <v>4158</v>
      </c>
      <c r="N393" s="37" t="s">
        <v>36</v>
      </c>
      <c r="O393" s="38" t="s">
        <v>186</v>
      </c>
      <c r="P393" s="39" t="s">
        <v>50</v>
      </c>
      <c r="Q393" s="40" t="s">
        <v>625</v>
      </c>
      <c r="R393" s="41" t="s">
        <v>35</v>
      </c>
      <c r="S393" s="42" t="s">
        <v>36</v>
      </c>
      <c r="T393" s="43" t="s">
        <v>4159</v>
      </c>
      <c r="U393" s="45" t="str">
        <f>HYPERLINK("https://my.pitchbook.com?p=110863-09P", "View people online")</f>
        <v>View people online</v>
      </c>
    </row>
    <row r="394" spans="1:21" x14ac:dyDescent="0.3">
      <c r="A394" s="4" t="s">
        <v>4160</v>
      </c>
      <c r="B394" s="5" t="s">
        <v>4161</v>
      </c>
      <c r="C394" s="6" t="s">
        <v>4162</v>
      </c>
      <c r="D394" s="7" t="s">
        <v>4163</v>
      </c>
      <c r="E394" s="8" t="s">
        <v>4164</v>
      </c>
      <c r="F394" s="9" t="s">
        <v>4165</v>
      </c>
      <c r="G394" s="10" t="s">
        <v>36</v>
      </c>
      <c r="H394" s="11">
        <v>1</v>
      </c>
      <c r="I394" s="12" t="s">
        <v>36</v>
      </c>
      <c r="J394" s="13" t="s">
        <v>4166</v>
      </c>
      <c r="K394" s="14" t="s">
        <v>4167</v>
      </c>
      <c r="L394" s="15" t="s">
        <v>210</v>
      </c>
      <c r="M394" s="16" t="s">
        <v>4168</v>
      </c>
      <c r="N394" s="17" t="s">
        <v>1903</v>
      </c>
      <c r="O394" s="18" t="s">
        <v>213</v>
      </c>
      <c r="P394" s="19" t="s">
        <v>50</v>
      </c>
      <c r="Q394" s="20" t="s">
        <v>214</v>
      </c>
      <c r="R394" s="21" t="s">
        <v>35</v>
      </c>
      <c r="S394" s="22" t="s">
        <v>36</v>
      </c>
      <c r="T394" s="23" t="s">
        <v>4169</v>
      </c>
      <c r="U394" s="44" t="str">
        <f>HYPERLINK("https://my.pitchbook.com?p=43179-31P", "View people online")</f>
        <v>View people online</v>
      </c>
    </row>
    <row r="395" spans="1:21" x14ac:dyDescent="0.3">
      <c r="A395" s="24" t="s">
        <v>4170</v>
      </c>
      <c r="B395" s="25" t="s">
        <v>4171</v>
      </c>
      <c r="C395" s="26" t="s">
        <v>4172</v>
      </c>
      <c r="D395" s="27" t="s">
        <v>4173</v>
      </c>
      <c r="E395" s="28" t="s">
        <v>4174</v>
      </c>
      <c r="F395" s="29" t="s">
        <v>4175</v>
      </c>
      <c r="G395" s="30">
        <v>1</v>
      </c>
      <c r="H395" s="31">
        <v>1</v>
      </c>
      <c r="I395" s="32" t="s">
        <v>36</v>
      </c>
      <c r="J395" s="33" t="s">
        <v>4176</v>
      </c>
      <c r="K395" s="34" t="s">
        <v>4177</v>
      </c>
      <c r="L395" s="35" t="s">
        <v>1479</v>
      </c>
      <c r="M395" s="36" t="s">
        <v>4178</v>
      </c>
      <c r="N395" s="37" t="s">
        <v>4179</v>
      </c>
      <c r="O395" s="38" t="s">
        <v>1481</v>
      </c>
      <c r="P395" s="39" t="s">
        <v>50</v>
      </c>
      <c r="Q395" s="40" t="s">
        <v>1668</v>
      </c>
      <c r="R395" s="41" t="s">
        <v>35</v>
      </c>
      <c r="S395" s="42" t="s">
        <v>4180</v>
      </c>
      <c r="T395" s="43" t="s">
        <v>4181</v>
      </c>
      <c r="U395" s="45" t="str">
        <f>HYPERLINK("https://my.pitchbook.com?p=40443-40P", "View people online")</f>
        <v>View people online</v>
      </c>
    </row>
    <row r="396" spans="1:21" x14ac:dyDescent="0.3">
      <c r="A396" s="4" t="s">
        <v>4182</v>
      </c>
      <c r="B396" s="5" t="s">
        <v>4183</v>
      </c>
      <c r="C396" s="6" t="s">
        <v>4184</v>
      </c>
      <c r="D396" s="7" t="s">
        <v>4173</v>
      </c>
      <c r="E396" s="8" t="s">
        <v>4185</v>
      </c>
      <c r="F396" s="9" t="s">
        <v>4186</v>
      </c>
      <c r="G396" s="10" t="s">
        <v>36</v>
      </c>
      <c r="H396" s="11">
        <v>1</v>
      </c>
      <c r="I396" s="12" t="s">
        <v>36</v>
      </c>
      <c r="J396" s="13" t="s">
        <v>4187</v>
      </c>
      <c r="K396" s="14" t="s">
        <v>4188</v>
      </c>
      <c r="L396" s="15" t="s">
        <v>224</v>
      </c>
      <c r="M396" s="16" t="s">
        <v>4189</v>
      </c>
      <c r="N396" s="17" t="s">
        <v>36</v>
      </c>
      <c r="O396" s="18" t="s">
        <v>226</v>
      </c>
      <c r="P396" s="19" t="s">
        <v>50</v>
      </c>
      <c r="Q396" s="20" t="s">
        <v>359</v>
      </c>
      <c r="R396" s="21" t="s">
        <v>35</v>
      </c>
      <c r="S396" s="22" t="s">
        <v>36</v>
      </c>
      <c r="T396" s="23" t="s">
        <v>4190</v>
      </c>
      <c r="U396" s="44" t="str">
        <f>HYPERLINK("https://my.pitchbook.com?p=98187-76P", "View people online")</f>
        <v>View people online</v>
      </c>
    </row>
    <row r="397" spans="1:21" x14ac:dyDescent="0.3">
      <c r="A397" s="24" t="s">
        <v>4191</v>
      </c>
      <c r="B397" s="25" t="s">
        <v>4192</v>
      </c>
      <c r="C397" s="26" t="s">
        <v>4193</v>
      </c>
      <c r="D397" s="27" t="s">
        <v>4194</v>
      </c>
      <c r="E397" s="28" t="s">
        <v>4195</v>
      </c>
      <c r="F397" s="29" t="s">
        <v>4196</v>
      </c>
      <c r="G397" s="30">
        <v>1</v>
      </c>
      <c r="H397" s="31">
        <v>1</v>
      </c>
      <c r="I397" s="32" t="s">
        <v>36</v>
      </c>
      <c r="J397" s="33" t="s">
        <v>4197</v>
      </c>
      <c r="K397" s="34" t="s">
        <v>4198</v>
      </c>
      <c r="L397" s="35" t="s">
        <v>4199</v>
      </c>
      <c r="M397" s="36" t="s">
        <v>4200</v>
      </c>
      <c r="N397" s="37" t="s">
        <v>1187</v>
      </c>
      <c r="O397" s="38" t="s">
        <v>4201</v>
      </c>
      <c r="P397" s="39" t="s">
        <v>1030</v>
      </c>
      <c r="Q397" s="40" t="s">
        <v>4202</v>
      </c>
      <c r="R397" s="41" t="s">
        <v>35</v>
      </c>
      <c r="S397" s="42" t="s">
        <v>36</v>
      </c>
      <c r="T397" s="43" t="s">
        <v>4203</v>
      </c>
      <c r="U397" s="45" t="str">
        <f>HYPERLINK("https://my.pitchbook.com?p=36209-26P", "View people online")</f>
        <v>View people online</v>
      </c>
    </row>
    <row r="398" spans="1:21" x14ac:dyDescent="0.3">
      <c r="A398" s="4" t="s">
        <v>4204</v>
      </c>
      <c r="B398" s="5" t="s">
        <v>4205</v>
      </c>
      <c r="C398" s="6" t="s">
        <v>4206</v>
      </c>
      <c r="D398" s="7" t="s">
        <v>4207</v>
      </c>
      <c r="E398" s="8" t="s">
        <v>86</v>
      </c>
      <c r="F398" s="9" t="s">
        <v>4208</v>
      </c>
      <c r="G398" s="10" t="s">
        <v>36</v>
      </c>
      <c r="H398" s="11">
        <v>1</v>
      </c>
      <c r="I398" s="12" t="s">
        <v>36</v>
      </c>
      <c r="J398" s="13" t="s">
        <v>36</v>
      </c>
      <c r="K398" s="14" t="s">
        <v>36</v>
      </c>
      <c r="L398" s="15" t="s">
        <v>131</v>
      </c>
      <c r="M398" s="16" t="s">
        <v>4209</v>
      </c>
      <c r="N398" s="17" t="s">
        <v>4210</v>
      </c>
      <c r="O398" s="18" t="s">
        <v>133</v>
      </c>
      <c r="P398" s="19" t="s">
        <v>50</v>
      </c>
      <c r="Q398" s="20" t="s">
        <v>134</v>
      </c>
      <c r="R398" s="21" t="s">
        <v>35</v>
      </c>
      <c r="S398" s="22" t="s">
        <v>36</v>
      </c>
      <c r="T398" s="23" t="s">
        <v>4211</v>
      </c>
      <c r="U398" s="44" t="str">
        <f>HYPERLINK("https://my.pitchbook.com?p=183455-29P", "View people online")</f>
        <v>View people online</v>
      </c>
    </row>
    <row r="399" spans="1:21" x14ac:dyDescent="0.3">
      <c r="A399" s="24" t="s">
        <v>4212</v>
      </c>
      <c r="B399" s="25" t="s">
        <v>4213</v>
      </c>
      <c r="C399" s="26" t="s">
        <v>4214</v>
      </c>
      <c r="D399" s="27" t="s">
        <v>4215</v>
      </c>
      <c r="E399" s="28" t="s">
        <v>4216</v>
      </c>
      <c r="F399" s="29" t="s">
        <v>4217</v>
      </c>
      <c r="G399" s="30" t="s">
        <v>36</v>
      </c>
      <c r="H399" s="31">
        <v>1</v>
      </c>
      <c r="I399" s="32" t="s">
        <v>36</v>
      </c>
      <c r="J399" s="33" t="s">
        <v>4218</v>
      </c>
      <c r="K399" s="34" t="s">
        <v>4219</v>
      </c>
      <c r="L399" s="35" t="s">
        <v>4220</v>
      </c>
      <c r="M399" s="36" t="s">
        <v>4221</v>
      </c>
      <c r="N399" s="37" t="s">
        <v>4222</v>
      </c>
      <c r="O399" s="38" t="s">
        <v>4223</v>
      </c>
      <c r="P399" s="39" t="s">
        <v>50</v>
      </c>
      <c r="Q399" s="40" t="s">
        <v>4224</v>
      </c>
      <c r="R399" s="41" t="s">
        <v>35</v>
      </c>
      <c r="S399" s="42" t="s">
        <v>36</v>
      </c>
      <c r="T399" s="43" t="s">
        <v>4225</v>
      </c>
      <c r="U399" s="45" t="str">
        <f>HYPERLINK("https://my.pitchbook.com?p=96398-65P", "View people online")</f>
        <v>View people online</v>
      </c>
    </row>
    <row r="400" spans="1:21" x14ac:dyDescent="0.3">
      <c r="A400" s="4" t="s">
        <v>4226</v>
      </c>
      <c r="B400" s="5" t="s">
        <v>4227</v>
      </c>
      <c r="C400" s="6" t="s">
        <v>4228</v>
      </c>
      <c r="D400" s="7" t="s">
        <v>4215</v>
      </c>
      <c r="E400" s="8" t="s">
        <v>898</v>
      </c>
      <c r="F400" s="9" t="s">
        <v>4229</v>
      </c>
      <c r="G400" s="10">
        <v>1</v>
      </c>
      <c r="H400" s="11">
        <v>1</v>
      </c>
      <c r="I400" s="12" t="s">
        <v>36</v>
      </c>
      <c r="J400" s="13" t="s">
        <v>4230</v>
      </c>
      <c r="K400" s="14" t="s">
        <v>4231</v>
      </c>
      <c r="L400" s="15" t="s">
        <v>1404</v>
      </c>
      <c r="M400" s="16" t="s">
        <v>2896</v>
      </c>
      <c r="N400" s="17" t="s">
        <v>36</v>
      </c>
      <c r="O400" s="18" t="s">
        <v>1407</v>
      </c>
      <c r="P400" s="19" t="s">
        <v>50</v>
      </c>
      <c r="Q400" s="20" t="s">
        <v>1417</v>
      </c>
      <c r="R400" s="21" t="s">
        <v>35</v>
      </c>
      <c r="S400" s="22" t="s">
        <v>36</v>
      </c>
      <c r="T400" s="23" t="s">
        <v>4232</v>
      </c>
      <c r="U400" s="44" t="str">
        <f>HYPERLINK("https://my.pitchbook.com?p=42786-46P", "View people online")</f>
        <v>View people online</v>
      </c>
    </row>
    <row r="401" spans="1:21" x14ac:dyDescent="0.3">
      <c r="A401" s="24" t="s">
        <v>4233</v>
      </c>
      <c r="B401" s="25" t="s">
        <v>4234</v>
      </c>
      <c r="C401" s="26" t="s">
        <v>4235</v>
      </c>
      <c r="D401" s="27" t="s">
        <v>4215</v>
      </c>
      <c r="E401" s="28" t="s">
        <v>1912</v>
      </c>
      <c r="F401" s="29" t="s">
        <v>4236</v>
      </c>
      <c r="G401" s="30" t="s">
        <v>36</v>
      </c>
      <c r="H401" s="31">
        <v>1</v>
      </c>
      <c r="I401" s="32" t="s">
        <v>36</v>
      </c>
      <c r="J401" s="33" t="s">
        <v>4237</v>
      </c>
      <c r="K401" s="34" t="s">
        <v>4238</v>
      </c>
      <c r="L401" s="35" t="s">
        <v>183</v>
      </c>
      <c r="M401" s="36" t="s">
        <v>4239</v>
      </c>
      <c r="N401" s="37" t="s">
        <v>4240</v>
      </c>
      <c r="O401" s="38" t="s">
        <v>186</v>
      </c>
      <c r="P401" s="39" t="s">
        <v>50</v>
      </c>
      <c r="Q401" s="40" t="s">
        <v>444</v>
      </c>
      <c r="R401" s="41" t="s">
        <v>35</v>
      </c>
      <c r="S401" s="42" t="s">
        <v>36</v>
      </c>
      <c r="T401" s="43" t="s">
        <v>4241</v>
      </c>
      <c r="U401" s="45" t="str">
        <f>HYPERLINK("https://my.pitchbook.com?p=44043-67P", "View people online")</f>
        <v>View people online</v>
      </c>
    </row>
    <row r="402" spans="1:21" x14ac:dyDescent="0.3">
      <c r="A402" s="4" t="s">
        <v>4242</v>
      </c>
      <c r="B402" s="5" t="s">
        <v>4243</v>
      </c>
      <c r="C402" s="6" t="s">
        <v>4244</v>
      </c>
      <c r="D402" s="7" t="s">
        <v>4245</v>
      </c>
      <c r="E402" s="8" t="s">
        <v>1721</v>
      </c>
      <c r="F402" s="9" t="s">
        <v>4246</v>
      </c>
      <c r="G402" s="10">
        <v>1</v>
      </c>
      <c r="H402" s="11">
        <v>1</v>
      </c>
      <c r="I402" s="12" t="s">
        <v>36</v>
      </c>
      <c r="J402" s="13" t="s">
        <v>4247</v>
      </c>
      <c r="K402" s="14" t="s">
        <v>4248</v>
      </c>
      <c r="L402" s="15" t="s">
        <v>183</v>
      </c>
      <c r="M402" s="16" t="s">
        <v>4249</v>
      </c>
      <c r="N402" s="17" t="s">
        <v>566</v>
      </c>
      <c r="O402" s="18" t="s">
        <v>186</v>
      </c>
      <c r="P402" s="19" t="s">
        <v>50</v>
      </c>
      <c r="Q402" s="20" t="s">
        <v>575</v>
      </c>
      <c r="R402" s="21" t="s">
        <v>35</v>
      </c>
      <c r="S402" s="22" t="s">
        <v>36</v>
      </c>
      <c r="T402" s="23" t="s">
        <v>4250</v>
      </c>
      <c r="U402" s="44" t="str">
        <f>HYPERLINK("https://my.pitchbook.com?p=47650-15P", "View people online")</f>
        <v>View people online</v>
      </c>
    </row>
    <row r="403" spans="1:21" x14ac:dyDescent="0.3">
      <c r="A403" s="24" t="s">
        <v>4251</v>
      </c>
      <c r="B403" s="25" t="s">
        <v>4252</v>
      </c>
      <c r="C403" s="26" t="s">
        <v>4253</v>
      </c>
      <c r="D403" s="27" t="s">
        <v>2357</v>
      </c>
      <c r="E403" s="28" t="s">
        <v>1108</v>
      </c>
      <c r="F403" s="29" t="s">
        <v>4254</v>
      </c>
      <c r="G403" s="30" t="s">
        <v>36</v>
      </c>
      <c r="H403" s="31">
        <v>1</v>
      </c>
      <c r="I403" s="32" t="s">
        <v>36</v>
      </c>
      <c r="J403" s="33" t="s">
        <v>36</v>
      </c>
      <c r="K403" s="34" t="s">
        <v>4255</v>
      </c>
      <c r="L403" s="35" t="s">
        <v>250</v>
      </c>
      <c r="M403" s="36" t="s">
        <v>4256</v>
      </c>
      <c r="N403" s="37" t="s">
        <v>4257</v>
      </c>
      <c r="O403" s="38" t="s">
        <v>253</v>
      </c>
      <c r="P403" s="39" t="s">
        <v>50</v>
      </c>
      <c r="Q403" s="40" t="s">
        <v>334</v>
      </c>
      <c r="R403" s="41" t="s">
        <v>35</v>
      </c>
      <c r="S403" s="42" t="s">
        <v>36</v>
      </c>
      <c r="T403" s="43" t="s">
        <v>4258</v>
      </c>
      <c r="U403" s="45" t="str">
        <f>HYPERLINK("https://my.pitchbook.com?p=79571-08P", "View people online")</f>
        <v>View people online</v>
      </c>
    </row>
    <row r="404" spans="1:21" x14ac:dyDescent="0.3">
      <c r="A404" s="4" t="s">
        <v>4259</v>
      </c>
      <c r="B404" s="5" t="s">
        <v>4260</v>
      </c>
      <c r="C404" s="6" t="s">
        <v>4261</v>
      </c>
      <c r="D404" s="7" t="s">
        <v>4262</v>
      </c>
      <c r="E404" s="8" t="s">
        <v>128</v>
      </c>
      <c r="F404" s="9" t="s">
        <v>4263</v>
      </c>
      <c r="G404" s="10" t="s">
        <v>36</v>
      </c>
      <c r="H404" s="11">
        <v>1</v>
      </c>
      <c r="I404" s="12" t="s">
        <v>36</v>
      </c>
      <c r="J404" s="13" t="s">
        <v>36</v>
      </c>
      <c r="K404" s="14" t="s">
        <v>4264</v>
      </c>
      <c r="L404" s="15" t="s">
        <v>183</v>
      </c>
      <c r="M404" s="16" t="s">
        <v>4265</v>
      </c>
      <c r="N404" s="17" t="s">
        <v>4266</v>
      </c>
      <c r="O404" s="18" t="s">
        <v>186</v>
      </c>
      <c r="P404" s="19" t="s">
        <v>50</v>
      </c>
      <c r="Q404" s="20" t="s">
        <v>575</v>
      </c>
      <c r="R404" s="21" t="s">
        <v>35</v>
      </c>
      <c r="S404" s="22" t="s">
        <v>36</v>
      </c>
      <c r="T404" s="23" t="s">
        <v>4267</v>
      </c>
      <c r="U404" s="44" t="str">
        <f>HYPERLINK("https://my.pitchbook.com?p=103134-43P", "View people online")</f>
        <v>View people online</v>
      </c>
    </row>
    <row r="405" spans="1:21" x14ac:dyDescent="0.3">
      <c r="A405" s="24" t="s">
        <v>4268</v>
      </c>
      <c r="B405" s="25" t="s">
        <v>4269</v>
      </c>
      <c r="C405" s="26" t="s">
        <v>4270</v>
      </c>
      <c r="D405" s="27" t="s">
        <v>4271</v>
      </c>
      <c r="E405" s="28" t="s">
        <v>86</v>
      </c>
      <c r="F405" s="29" t="s">
        <v>4272</v>
      </c>
      <c r="G405" s="30" t="s">
        <v>36</v>
      </c>
      <c r="H405" s="31">
        <v>1</v>
      </c>
      <c r="I405" s="32" t="s">
        <v>36</v>
      </c>
      <c r="J405" s="33" t="s">
        <v>36</v>
      </c>
      <c r="K405" s="34" t="s">
        <v>4273</v>
      </c>
      <c r="L405" s="35" t="s">
        <v>397</v>
      </c>
      <c r="M405" s="36" t="s">
        <v>4274</v>
      </c>
      <c r="N405" s="37" t="s">
        <v>4275</v>
      </c>
      <c r="O405" s="38" t="s">
        <v>400</v>
      </c>
      <c r="P405" s="39" t="s">
        <v>400</v>
      </c>
      <c r="Q405" s="40" t="s">
        <v>758</v>
      </c>
      <c r="R405" s="41" t="s">
        <v>35</v>
      </c>
      <c r="S405" s="42" t="s">
        <v>36</v>
      </c>
      <c r="T405" s="43" t="s">
        <v>4276</v>
      </c>
      <c r="U405" s="45" t="str">
        <f>HYPERLINK("https://my.pitchbook.com?p=40315-42P", "View people online")</f>
        <v>View people online</v>
      </c>
    </row>
    <row r="406" spans="1:21" x14ac:dyDescent="0.3">
      <c r="A406" s="4" t="s">
        <v>4277</v>
      </c>
      <c r="B406" s="5" t="s">
        <v>4278</v>
      </c>
      <c r="C406" s="6" t="s">
        <v>4279</v>
      </c>
      <c r="D406" s="7" t="s">
        <v>353</v>
      </c>
      <c r="E406" s="8" t="s">
        <v>4280</v>
      </c>
      <c r="F406" s="9" t="s">
        <v>4281</v>
      </c>
      <c r="G406" s="10" t="s">
        <v>36</v>
      </c>
      <c r="H406" s="11">
        <v>1</v>
      </c>
      <c r="I406" s="12" t="s">
        <v>36</v>
      </c>
      <c r="J406" s="13" t="s">
        <v>4282</v>
      </c>
      <c r="K406" s="14" t="s">
        <v>4283</v>
      </c>
      <c r="L406" s="15" t="s">
        <v>818</v>
      </c>
      <c r="M406" s="16" t="s">
        <v>4284</v>
      </c>
      <c r="N406" s="17" t="s">
        <v>36</v>
      </c>
      <c r="O406" s="18" t="s">
        <v>821</v>
      </c>
      <c r="P406" s="19" t="s">
        <v>50</v>
      </c>
      <c r="Q406" s="20" t="s">
        <v>822</v>
      </c>
      <c r="R406" s="21" t="s">
        <v>35</v>
      </c>
      <c r="S406" s="22" t="s">
        <v>4285</v>
      </c>
      <c r="T406" s="23" t="s">
        <v>4286</v>
      </c>
      <c r="U406" s="44" t="str">
        <f>HYPERLINK("https://my.pitchbook.com?p=141052-60P", "View people online")</f>
        <v>View people online</v>
      </c>
    </row>
    <row r="407" spans="1:21" x14ac:dyDescent="0.3">
      <c r="A407" s="24" t="s">
        <v>4287</v>
      </c>
      <c r="B407" s="25" t="s">
        <v>4288</v>
      </c>
      <c r="C407" s="26" t="s">
        <v>4289</v>
      </c>
      <c r="D407" s="27" t="s">
        <v>353</v>
      </c>
      <c r="E407" s="28" t="s">
        <v>179</v>
      </c>
      <c r="F407" s="29" t="s">
        <v>4290</v>
      </c>
      <c r="G407" s="30" t="s">
        <v>36</v>
      </c>
      <c r="H407" s="31">
        <v>1</v>
      </c>
      <c r="I407" s="32" t="s">
        <v>36</v>
      </c>
      <c r="J407" s="33" t="s">
        <v>36</v>
      </c>
      <c r="K407" s="34" t="s">
        <v>4291</v>
      </c>
      <c r="L407" s="35" t="s">
        <v>397</v>
      </c>
      <c r="M407" s="36" t="s">
        <v>4292</v>
      </c>
      <c r="N407" s="37" t="s">
        <v>4293</v>
      </c>
      <c r="O407" s="38" t="s">
        <v>400</v>
      </c>
      <c r="P407" s="39" t="s">
        <v>400</v>
      </c>
      <c r="Q407" s="40" t="s">
        <v>36</v>
      </c>
      <c r="R407" s="41" t="s">
        <v>35</v>
      </c>
      <c r="S407" s="42" t="s">
        <v>36</v>
      </c>
      <c r="T407" s="43" t="s">
        <v>4294</v>
      </c>
      <c r="U407" s="45" t="str">
        <f>HYPERLINK("https://my.pitchbook.com?p=123571-81P", "View people online")</f>
        <v>View people online</v>
      </c>
    </row>
    <row r="408" spans="1:21" x14ac:dyDescent="0.3">
      <c r="A408" s="4" t="s">
        <v>4295</v>
      </c>
      <c r="B408" s="5" t="s">
        <v>4296</v>
      </c>
      <c r="C408" s="6" t="s">
        <v>4297</v>
      </c>
      <c r="D408" s="7" t="s">
        <v>353</v>
      </c>
      <c r="E408" s="8" t="s">
        <v>179</v>
      </c>
      <c r="F408" s="9" t="s">
        <v>4298</v>
      </c>
      <c r="G408" s="10" t="s">
        <v>36</v>
      </c>
      <c r="H408" s="11">
        <v>1</v>
      </c>
      <c r="I408" s="12" t="s">
        <v>36</v>
      </c>
      <c r="J408" s="13" t="s">
        <v>4299</v>
      </c>
      <c r="K408" s="14" t="s">
        <v>4300</v>
      </c>
      <c r="L408" s="15" t="s">
        <v>4301</v>
      </c>
      <c r="M408" s="16" t="s">
        <v>4302</v>
      </c>
      <c r="N408" s="17" t="s">
        <v>36</v>
      </c>
      <c r="O408" s="18" t="s">
        <v>4303</v>
      </c>
      <c r="P408" s="19" t="s">
        <v>1759</v>
      </c>
      <c r="Q408" s="20" t="s">
        <v>4304</v>
      </c>
      <c r="R408" s="21" t="s">
        <v>35</v>
      </c>
      <c r="S408" s="22" t="s">
        <v>36</v>
      </c>
      <c r="T408" s="23" t="s">
        <v>4305</v>
      </c>
      <c r="U408" s="44" t="str">
        <f>HYPERLINK("https://my.pitchbook.com?p=193920-85P", "View people online")</f>
        <v>View people online</v>
      </c>
    </row>
    <row r="409" spans="1:21" x14ac:dyDescent="0.3">
      <c r="A409" s="24" t="s">
        <v>4306</v>
      </c>
      <c r="B409" s="25" t="s">
        <v>4307</v>
      </c>
      <c r="C409" s="26" t="s">
        <v>4308</v>
      </c>
      <c r="D409" s="27" t="s">
        <v>353</v>
      </c>
      <c r="E409" s="28" t="s">
        <v>508</v>
      </c>
      <c r="F409" s="29" t="s">
        <v>4309</v>
      </c>
      <c r="G409" s="30" t="s">
        <v>36</v>
      </c>
      <c r="H409" s="31">
        <v>1</v>
      </c>
      <c r="I409" s="32" t="s">
        <v>36</v>
      </c>
      <c r="J409" s="33" t="s">
        <v>4310</v>
      </c>
      <c r="K409" s="34" t="s">
        <v>4311</v>
      </c>
      <c r="L409" s="35" t="s">
        <v>1404</v>
      </c>
      <c r="M409" s="36" t="s">
        <v>4312</v>
      </c>
      <c r="N409" s="37" t="s">
        <v>36</v>
      </c>
      <c r="O409" s="38" t="s">
        <v>1407</v>
      </c>
      <c r="P409" s="39" t="s">
        <v>50</v>
      </c>
      <c r="Q409" s="40" t="s">
        <v>4313</v>
      </c>
      <c r="R409" s="41" t="s">
        <v>35</v>
      </c>
      <c r="S409" s="42" t="s">
        <v>36</v>
      </c>
      <c r="T409" s="43" t="s">
        <v>4314</v>
      </c>
      <c r="U409" s="45" t="str">
        <f>HYPERLINK("https://my.pitchbook.com?p=56047-69P", "View people online")</f>
        <v>View people online</v>
      </c>
    </row>
    <row r="410" spans="1:21" x14ac:dyDescent="0.3">
      <c r="A410" s="4" t="s">
        <v>4315</v>
      </c>
      <c r="B410" s="5" t="s">
        <v>4316</v>
      </c>
      <c r="C410" s="6" t="s">
        <v>4317</v>
      </c>
      <c r="D410" s="7" t="s">
        <v>353</v>
      </c>
      <c r="E410" s="8" t="s">
        <v>340</v>
      </c>
      <c r="F410" s="9" t="s">
        <v>4318</v>
      </c>
      <c r="G410" s="10">
        <v>1</v>
      </c>
      <c r="H410" s="11">
        <v>1</v>
      </c>
      <c r="I410" s="12" t="s">
        <v>36</v>
      </c>
      <c r="J410" s="13" t="s">
        <v>4319</v>
      </c>
      <c r="K410" s="14" t="s">
        <v>4320</v>
      </c>
      <c r="L410" s="15" t="s">
        <v>4321</v>
      </c>
      <c r="M410" s="16" t="s">
        <v>4322</v>
      </c>
      <c r="N410" s="17" t="s">
        <v>4210</v>
      </c>
      <c r="O410" s="18" t="s">
        <v>4323</v>
      </c>
      <c r="P410" s="19" t="s">
        <v>50</v>
      </c>
      <c r="Q410" s="20" t="s">
        <v>4324</v>
      </c>
      <c r="R410" s="21" t="s">
        <v>35</v>
      </c>
      <c r="S410" s="22" t="s">
        <v>36</v>
      </c>
      <c r="T410" s="23" t="s">
        <v>4325</v>
      </c>
      <c r="U410" s="44" t="str">
        <f>HYPERLINK("https://my.pitchbook.com?p=42532-48P", "View people online")</f>
        <v>View people online</v>
      </c>
    </row>
    <row r="411" spans="1:21" x14ac:dyDescent="0.3">
      <c r="A411" s="24" t="s">
        <v>4326</v>
      </c>
      <c r="B411" s="25" t="s">
        <v>4327</v>
      </c>
      <c r="C411" s="26" t="s">
        <v>4328</v>
      </c>
      <c r="D411" s="27" t="s">
        <v>353</v>
      </c>
      <c r="E411" s="28" t="s">
        <v>179</v>
      </c>
      <c r="F411" s="29" t="s">
        <v>4329</v>
      </c>
      <c r="G411" s="30" t="s">
        <v>36</v>
      </c>
      <c r="H411" s="31">
        <v>1</v>
      </c>
      <c r="I411" s="32" t="s">
        <v>36</v>
      </c>
      <c r="J411" s="33" t="s">
        <v>4330</v>
      </c>
      <c r="K411" s="34" t="s">
        <v>4331</v>
      </c>
      <c r="L411" s="35" t="s">
        <v>1136</v>
      </c>
      <c r="M411" s="36" t="s">
        <v>4332</v>
      </c>
      <c r="N411" s="37" t="s">
        <v>4333</v>
      </c>
      <c r="O411" s="38" t="s">
        <v>1139</v>
      </c>
      <c r="P411" s="39" t="s">
        <v>1140</v>
      </c>
      <c r="Q411" s="40" t="s">
        <v>4334</v>
      </c>
      <c r="R411" s="41" t="s">
        <v>35</v>
      </c>
      <c r="S411" s="42" t="s">
        <v>36</v>
      </c>
      <c r="T411" s="43" t="s">
        <v>4335</v>
      </c>
      <c r="U411" s="45" t="str">
        <f>HYPERLINK("https://my.pitchbook.com?p=95454-46P", "View people online")</f>
        <v>View people online</v>
      </c>
    </row>
    <row r="412" spans="1:21" x14ac:dyDescent="0.3">
      <c r="A412" s="4" t="s">
        <v>4336</v>
      </c>
      <c r="B412" s="5" t="s">
        <v>4337</v>
      </c>
      <c r="C412" s="6" t="s">
        <v>4338</v>
      </c>
      <c r="D412" s="7" t="s">
        <v>353</v>
      </c>
      <c r="E412" s="8" t="s">
        <v>1751</v>
      </c>
      <c r="F412" s="9" t="s">
        <v>4339</v>
      </c>
      <c r="G412" s="10">
        <v>1</v>
      </c>
      <c r="H412" s="11">
        <v>1</v>
      </c>
      <c r="I412" s="12" t="s">
        <v>36</v>
      </c>
      <c r="J412" s="13" t="s">
        <v>4340</v>
      </c>
      <c r="K412" s="14" t="s">
        <v>4341</v>
      </c>
      <c r="L412" s="15" t="s">
        <v>183</v>
      </c>
      <c r="M412" s="16" t="s">
        <v>4342</v>
      </c>
      <c r="N412" s="17" t="s">
        <v>36</v>
      </c>
      <c r="O412" s="18" t="s">
        <v>186</v>
      </c>
      <c r="P412" s="19" t="s">
        <v>50</v>
      </c>
      <c r="Q412" s="20" t="s">
        <v>625</v>
      </c>
      <c r="R412" s="21" t="s">
        <v>35</v>
      </c>
      <c r="S412" s="22" t="s">
        <v>36</v>
      </c>
      <c r="T412" s="23" t="s">
        <v>4343</v>
      </c>
      <c r="U412" s="44" t="str">
        <f>HYPERLINK("https://my.pitchbook.com?p=200039-77P", "View people online")</f>
        <v>View people online</v>
      </c>
    </row>
    <row r="413" spans="1:21" x14ac:dyDescent="0.3">
      <c r="A413" s="24" t="s">
        <v>4344</v>
      </c>
      <c r="B413" s="25" t="s">
        <v>4345</v>
      </c>
      <c r="C413" s="26" t="s">
        <v>4346</v>
      </c>
      <c r="D413" s="27" t="s">
        <v>353</v>
      </c>
      <c r="E413" s="28" t="s">
        <v>86</v>
      </c>
      <c r="F413" s="29" t="s">
        <v>4347</v>
      </c>
      <c r="G413" s="30" t="s">
        <v>36</v>
      </c>
      <c r="H413" s="31">
        <v>1</v>
      </c>
      <c r="I413" s="32" t="s">
        <v>36</v>
      </c>
      <c r="J413" s="33" t="s">
        <v>4348</v>
      </c>
      <c r="K413" s="34" t="s">
        <v>4349</v>
      </c>
      <c r="L413" s="35" t="s">
        <v>4350</v>
      </c>
      <c r="M413" s="36" t="s">
        <v>4351</v>
      </c>
      <c r="N413" s="37" t="s">
        <v>36</v>
      </c>
      <c r="O413" s="38" t="s">
        <v>4352</v>
      </c>
      <c r="P413" s="39" t="s">
        <v>544</v>
      </c>
      <c r="Q413" s="40" t="s">
        <v>4353</v>
      </c>
      <c r="R413" s="41" t="s">
        <v>35</v>
      </c>
      <c r="S413" s="42" t="s">
        <v>36</v>
      </c>
      <c r="T413" s="43" t="s">
        <v>4354</v>
      </c>
      <c r="U413" s="45" t="str">
        <f>HYPERLINK("https://my.pitchbook.com?p=42794-29P", "View people online")</f>
        <v>View people online</v>
      </c>
    </row>
    <row r="414" spans="1:21" x14ac:dyDescent="0.3">
      <c r="A414" s="4" t="s">
        <v>4355</v>
      </c>
      <c r="B414" s="5" t="s">
        <v>4356</v>
      </c>
      <c r="C414" s="6" t="s">
        <v>4357</v>
      </c>
      <c r="D414" s="7" t="s">
        <v>353</v>
      </c>
      <c r="E414" s="8" t="s">
        <v>4358</v>
      </c>
      <c r="F414" s="9" t="s">
        <v>4359</v>
      </c>
      <c r="G414" s="10" t="s">
        <v>36</v>
      </c>
      <c r="H414" s="11">
        <v>1</v>
      </c>
      <c r="I414" s="12" t="s">
        <v>36</v>
      </c>
      <c r="J414" s="13" t="s">
        <v>36</v>
      </c>
      <c r="K414" s="14" t="s">
        <v>4360</v>
      </c>
      <c r="L414" s="15" t="s">
        <v>818</v>
      </c>
      <c r="M414" s="16" t="s">
        <v>4361</v>
      </c>
      <c r="N414" s="17" t="s">
        <v>514</v>
      </c>
      <c r="O414" s="18" t="s">
        <v>821</v>
      </c>
      <c r="P414" s="19" t="s">
        <v>50</v>
      </c>
      <c r="Q414" s="20" t="s">
        <v>4362</v>
      </c>
      <c r="R414" s="21" t="s">
        <v>35</v>
      </c>
      <c r="S414" s="22" t="s">
        <v>36</v>
      </c>
      <c r="T414" s="23" t="s">
        <v>4363</v>
      </c>
      <c r="U414" s="44" t="str">
        <f>HYPERLINK("https://my.pitchbook.com?p=125130-88P", "View people online")</f>
        <v>View people online</v>
      </c>
    </row>
    <row r="415" spans="1:21" x14ac:dyDescent="0.3">
      <c r="A415" s="24" t="s">
        <v>4364</v>
      </c>
      <c r="B415" s="25" t="s">
        <v>4365</v>
      </c>
      <c r="C415" s="26" t="s">
        <v>4366</v>
      </c>
      <c r="D415" s="27" t="s">
        <v>4367</v>
      </c>
      <c r="E415" s="28" t="s">
        <v>4368</v>
      </c>
      <c r="F415" s="29" t="s">
        <v>4369</v>
      </c>
      <c r="G415" s="30" t="s">
        <v>36</v>
      </c>
      <c r="H415" s="31">
        <v>1</v>
      </c>
      <c r="I415" s="32" t="s">
        <v>36</v>
      </c>
      <c r="J415" s="33" t="s">
        <v>36</v>
      </c>
      <c r="K415" s="34" t="s">
        <v>4370</v>
      </c>
      <c r="L415" s="35" t="s">
        <v>183</v>
      </c>
      <c r="M415" s="36" t="s">
        <v>4371</v>
      </c>
      <c r="N415" s="37" t="s">
        <v>1016</v>
      </c>
      <c r="O415" s="38" t="s">
        <v>186</v>
      </c>
      <c r="P415" s="39" t="s">
        <v>50</v>
      </c>
      <c r="Q415" s="40" t="s">
        <v>444</v>
      </c>
      <c r="R415" s="41" t="s">
        <v>35</v>
      </c>
      <c r="S415" s="42" t="s">
        <v>36</v>
      </c>
      <c r="T415" s="43" t="s">
        <v>4372</v>
      </c>
      <c r="U415" s="45" t="str">
        <f>HYPERLINK("https://my.pitchbook.com?p=203470-57P", "View people online")</f>
        <v>View people online</v>
      </c>
    </row>
    <row r="416" spans="1:21" x14ac:dyDescent="0.3">
      <c r="A416" s="4" t="s">
        <v>4373</v>
      </c>
      <c r="B416" s="5" t="s">
        <v>4374</v>
      </c>
      <c r="C416" s="6" t="s">
        <v>4375</v>
      </c>
      <c r="D416" s="7" t="s">
        <v>4367</v>
      </c>
      <c r="E416" s="8" t="s">
        <v>4376</v>
      </c>
      <c r="F416" s="9" t="s">
        <v>1767</v>
      </c>
      <c r="G416" s="10" t="s">
        <v>36</v>
      </c>
      <c r="H416" s="11">
        <v>1</v>
      </c>
      <c r="I416" s="12" t="s">
        <v>36</v>
      </c>
      <c r="J416" s="13" t="s">
        <v>1768</v>
      </c>
      <c r="K416" s="14" t="s">
        <v>4377</v>
      </c>
      <c r="L416" s="15" t="s">
        <v>183</v>
      </c>
      <c r="M416" s="16" t="s">
        <v>1770</v>
      </c>
      <c r="N416" s="17" t="s">
        <v>1771</v>
      </c>
      <c r="O416" s="18" t="s">
        <v>186</v>
      </c>
      <c r="P416" s="19" t="s">
        <v>50</v>
      </c>
      <c r="Q416" s="20" t="s">
        <v>718</v>
      </c>
      <c r="R416" s="21" t="s">
        <v>35</v>
      </c>
      <c r="S416" s="22" t="s">
        <v>36</v>
      </c>
      <c r="T416" s="23" t="s">
        <v>4378</v>
      </c>
      <c r="U416" s="44" t="str">
        <f>HYPERLINK("https://my.pitchbook.com?p=71250-85P", "View people online")</f>
        <v>View people online</v>
      </c>
    </row>
    <row r="417" spans="1:21" x14ac:dyDescent="0.3">
      <c r="A417" s="24" t="s">
        <v>4379</v>
      </c>
      <c r="B417" s="25" t="s">
        <v>4380</v>
      </c>
      <c r="C417" s="26" t="s">
        <v>4381</v>
      </c>
      <c r="D417" s="27" t="s">
        <v>4367</v>
      </c>
      <c r="E417" s="28" t="s">
        <v>179</v>
      </c>
      <c r="F417" s="29" t="s">
        <v>4382</v>
      </c>
      <c r="G417" s="30" t="s">
        <v>36</v>
      </c>
      <c r="H417" s="31">
        <v>1</v>
      </c>
      <c r="I417" s="32" t="s">
        <v>36</v>
      </c>
      <c r="J417" s="33" t="s">
        <v>36</v>
      </c>
      <c r="K417" s="34" t="s">
        <v>4383</v>
      </c>
      <c r="L417" s="35" t="s">
        <v>183</v>
      </c>
      <c r="M417" s="36" t="s">
        <v>4384</v>
      </c>
      <c r="N417" s="37" t="s">
        <v>4385</v>
      </c>
      <c r="O417" s="38" t="s">
        <v>186</v>
      </c>
      <c r="P417" s="39" t="s">
        <v>50</v>
      </c>
      <c r="Q417" s="40" t="s">
        <v>444</v>
      </c>
      <c r="R417" s="41" t="s">
        <v>35</v>
      </c>
      <c r="S417" s="42" t="s">
        <v>36</v>
      </c>
      <c r="T417" s="43" t="s">
        <v>4386</v>
      </c>
      <c r="U417" s="45" t="str">
        <f>HYPERLINK("https://my.pitchbook.com?p=35396-20P", "View people online")</f>
        <v>View people online</v>
      </c>
    </row>
    <row r="418" spans="1:21" x14ac:dyDescent="0.3">
      <c r="A418" s="4" t="s">
        <v>4387</v>
      </c>
      <c r="B418" s="5" t="s">
        <v>4388</v>
      </c>
      <c r="C418" s="6" t="s">
        <v>590</v>
      </c>
      <c r="D418" s="7" t="s">
        <v>4389</v>
      </c>
      <c r="E418" s="8" t="s">
        <v>4390</v>
      </c>
      <c r="F418" s="9" t="s">
        <v>4391</v>
      </c>
      <c r="G418" s="10" t="s">
        <v>36</v>
      </c>
      <c r="H418" s="11">
        <v>1</v>
      </c>
      <c r="I418" s="12" t="s">
        <v>36</v>
      </c>
      <c r="J418" s="13" t="s">
        <v>4392</v>
      </c>
      <c r="K418" s="14" t="s">
        <v>4393</v>
      </c>
      <c r="L418" s="15" t="s">
        <v>183</v>
      </c>
      <c r="M418" s="16" t="s">
        <v>36</v>
      </c>
      <c r="N418" s="17" t="s">
        <v>36</v>
      </c>
      <c r="O418" s="18" t="s">
        <v>186</v>
      </c>
      <c r="P418" s="19" t="s">
        <v>50</v>
      </c>
      <c r="Q418" s="20" t="s">
        <v>718</v>
      </c>
      <c r="R418" s="21" t="s">
        <v>35</v>
      </c>
      <c r="S418" s="22" t="s">
        <v>36</v>
      </c>
      <c r="T418" s="23" t="s">
        <v>4394</v>
      </c>
      <c r="U418" s="44" t="str">
        <f>HYPERLINK("https://my.pitchbook.com?p=82642-24P", "View people online")</f>
        <v>View people online</v>
      </c>
    </row>
    <row r="419" spans="1:21" x14ac:dyDescent="0.3">
      <c r="A419" s="24" t="s">
        <v>4395</v>
      </c>
      <c r="B419" s="25" t="s">
        <v>4396</v>
      </c>
      <c r="C419" s="26" t="s">
        <v>4397</v>
      </c>
      <c r="D419" s="27" t="s">
        <v>4398</v>
      </c>
      <c r="E419" s="28" t="s">
        <v>4399</v>
      </c>
      <c r="F419" s="29" t="s">
        <v>4400</v>
      </c>
      <c r="G419" s="30" t="s">
        <v>36</v>
      </c>
      <c r="H419" s="31">
        <v>1</v>
      </c>
      <c r="I419" s="32" t="s">
        <v>36</v>
      </c>
      <c r="J419" s="33" t="s">
        <v>36</v>
      </c>
      <c r="K419" s="34" t="s">
        <v>4401</v>
      </c>
      <c r="L419" s="35" t="s">
        <v>2312</v>
      </c>
      <c r="M419" s="36" t="s">
        <v>4402</v>
      </c>
      <c r="N419" s="37" t="s">
        <v>36</v>
      </c>
      <c r="O419" s="38" t="s">
        <v>2314</v>
      </c>
      <c r="P419" s="39" t="s">
        <v>50</v>
      </c>
      <c r="Q419" s="40" t="s">
        <v>2315</v>
      </c>
      <c r="R419" s="41" t="s">
        <v>35</v>
      </c>
      <c r="S419" s="42" t="s">
        <v>36</v>
      </c>
      <c r="T419" s="43" t="s">
        <v>4403</v>
      </c>
      <c r="U419" s="45" t="str">
        <f>HYPERLINK("https://my.pitchbook.com?p=213430-24P", "View people online")</f>
        <v>View people online</v>
      </c>
    </row>
    <row r="420" spans="1:21" x14ac:dyDescent="0.3">
      <c r="A420" s="4" t="s">
        <v>4404</v>
      </c>
      <c r="B420" s="5" t="s">
        <v>4405</v>
      </c>
      <c r="C420" s="6" t="s">
        <v>4406</v>
      </c>
      <c r="D420" s="7" t="s">
        <v>4407</v>
      </c>
      <c r="E420" s="8" t="s">
        <v>1912</v>
      </c>
      <c r="F420" s="9" t="s">
        <v>4408</v>
      </c>
      <c r="G420" s="10" t="s">
        <v>36</v>
      </c>
      <c r="H420" s="11">
        <v>1</v>
      </c>
      <c r="I420" s="12" t="s">
        <v>36</v>
      </c>
      <c r="J420" s="13" t="s">
        <v>4409</v>
      </c>
      <c r="K420" s="14" t="s">
        <v>4410</v>
      </c>
      <c r="L420" s="15" t="s">
        <v>183</v>
      </c>
      <c r="M420" s="16" t="s">
        <v>4411</v>
      </c>
      <c r="N420" s="17" t="s">
        <v>4412</v>
      </c>
      <c r="O420" s="18" t="s">
        <v>186</v>
      </c>
      <c r="P420" s="19" t="s">
        <v>50</v>
      </c>
      <c r="Q420" s="20" t="s">
        <v>444</v>
      </c>
      <c r="R420" s="21" t="s">
        <v>35</v>
      </c>
      <c r="S420" s="22" t="s">
        <v>36</v>
      </c>
      <c r="T420" s="23" t="s">
        <v>4413</v>
      </c>
      <c r="U420" s="44" t="str">
        <f>HYPERLINK("https://my.pitchbook.com?p=191468-98P", "View people online")</f>
        <v>View people online</v>
      </c>
    </row>
    <row r="421" spans="1:21" x14ac:dyDescent="0.3">
      <c r="A421" s="24" t="s">
        <v>4414</v>
      </c>
      <c r="B421" s="25" t="s">
        <v>4415</v>
      </c>
      <c r="C421" s="26" t="s">
        <v>4416</v>
      </c>
      <c r="D421" s="27" t="s">
        <v>423</v>
      </c>
      <c r="E421" s="28" t="s">
        <v>314</v>
      </c>
      <c r="F421" s="29" t="s">
        <v>4417</v>
      </c>
      <c r="G421" s="30">
        <v>1</v>
      </c>
      <c r="H421" s="31">
        <v>1</v>
      </c>
      <c r="I421" s="32" t="s">
        <v>36</v>
      </c>
      <c r="J421" s="33" t="s">
        <v>36</v>
      </c>
      <c r="K421" s="34" t="s">
        <v>4418</v>
      </c>
      <c r="L421" s="35" t="s">
        <v>4419</v>
      </c>
      <c r="M421" s="36" t="s">
        <v>4420</v>
      </c>
      <c r="N421" s="37" t="s">
        <v>36</v>
      </c>
      <c r="O421" s="38" t="s">
        <v>4421</v>
      </c>
      <c r="P421" s="39" t="s">
        <v>4422</v>
      </c>
      <c r="Q421" s="40" t="s">
        <v>4423</v>
      </c>
      <c r="R421" s="41" t="s">
        <v>35</v>
      </c>
      <c r="S421" s="42" t="s">
        <v>36</v>
      </c>
      <c r="T421" s="43" t="s">
        <v>4424</v>
      </c>
      <c r="U421" s="45" t="str">
        <f>HYPERLINK("https://my.pitchbook.com?p=187285-60P", "View people online")</f>
        <v>View people online</v>
      </c>
    </row>
    <row r="422" spans="1:21" x14ac:dyDescent="0.3">
      <c r="A422" s="4" t="s">
        <v>4425</v>
      </c>
      <c r="B422" s="5" t="s">
        <v>4426</v>
      </c>
      <c r="C422" s="6" t="s">
        <v>4427</v>
      </c>
      <c r="D422" s="7" t="s">
        <v>423</v>
      </c>
      <c r="E422" s="8" t="s">
        <v>314</v>
      </c>
      <c r="F422" s="9" t="s">
        <v>4428</v>
      </c>
      <c r="G422" s="10" t="s">
        <v>36</v>
      </c>
      <c r="H422" s="11">
        <v>1</v>
      </c>
      <c r="I422" s="12" t="s">
        <v>36</v>
      </c>
      <c r="J422" s="13" t="s">
        <v>4429</v>
      </c>
      <c r="K422" s="14" t="s">
        <v>4430</v>
      </c>
      <c r="L422" s="15" t="s">
        <v>2018</v>
      </c>
      <c r="M422" s="16" t="s">
        <v>4431</v>
      </c>
      <c r="N422" s="17" t="s">
        <v>4432</v>
      </c>
      <c r="O422" s="18" t="s">
        <v>2019</v>
      </c>
      <c r="P422" s="19" t="s">
        <v>4433</v>
      </c>
      <c r="Q422" s="20" t="s">
        <v>4434</v>
      </c>
      <c r="R422" s="21" t="s">
        <v>79</v>
      </c>
      <c r="S422" s="22" t="s">
        <v>36</v>
      </c>
      <c r="T422" s="23" t="s">
        <v>4435</v>
      </c>
      <c r="U422" s="44" t="str">
        <f>HYPERLINK("https://my.pitchbook.com?p=122099-86P", "View people online")</f>
        <v>View people online</v>
      </c>
    </row>
    <row r="423" spans="1:21" x14ac:dyDescent="0.3">
      <c r="A423" s="24" t="s">
        <v>4436</v>
      </c>
      <c r="B423" s="25" t="s">
        <v>4437</v>
      </c>
      <c r="C423" s="26" t="s">
        <v>4438</v>
      </c>
      <c r="D423" s="27" t="s">
        <v>423</v>
      </c>
      <c r="E423" s="28" t="s">
        <v>942</v>
      </c>
      <c r="F423" s="29" t="s">
        <v>4439</v>
      </c>
      <c r="G423" s="30" t="s">
        <v>36</v>
      </c>
      <c r="H423" s="31">
        <v>1</v>
      </c>
      <c r="I423" s="32" t="s">
        <v>36</v>
      </c>
      <c r="J423" s="33" t="s">
        <v>4440</v>
      </c>
      <c r="K423" s="34" t="s">
        <v>4441</v>
      </c>
      <c r="L423" s="35" t="s">
        <v>210</v>
      </c>
      <c r="M423" s="36" t="s">
        <v>4442</v>
      </c>
      <c r="N423" s="37" t="s">
        <v>4443</v>
      </c>
      <c r="O423" s="38" t="s">
        <v>213</v>
      </c>
      <c r="P423" s="39" t="s">
        <v>50</v>
      </c>
      <c r="Q423" s="40" t="s">
        <v>4444</v>
      </c>
      <c r="R423" s="41" t="s">
        <v>35</v>
      </c>
      <c r="S423" s="42" t="s">
        <v>36</v>
      </c>
      <c r="T423" s="43" t="s">
        <v>4445</v>
      </c>
      <c r="U423" s="45" t="str">
        <f>HYPERLINK("https://my.pitchbook.com?p=97884-37P", "View people online")</f>
        <v>View people online</v>
      </c>
    </row>
    <row r="424" spans="1:21" x14ac:dyDescent="0.3">
      <c r="A424" s="4" t="s">
        <v>4446</v>
      </c>
      <c r="B424" s="5" t="s">
        <v>4447</v>
      </c>
      <c r="C424" s="6" t="s">
        <v>4448</v>
      </c>
      <c r="D424" s="7" t="s">
        <v>4449</v>
      </c>
      <c r="E424" s="8" t="s">
        <v>4450</v>
      </c>
      <c r="F424" s="9" t="s">
        <v>4451</v>
      </c>
      <c r="G424" s="10">
        <v>1</v>
      </c>
      <c r="H424" s="11">
        <v>1</v>
      </c>
      <c r="I424" s="12" t="s">
        <v>36</v>
      </c>
      <c r="J424" s="13" t="s">
        <v>4452</v>
      </c>
      <c r="K424" s="14" t="s">
        <v>4453</v>
      </c>
      <c r="L424" s="15" t="s">
        <v>4454</v>
      </c>
      <c r="M424" s="16" t="s">
        <v>4455</v>
      </c>
      <c r="N424" s="17" t="s">
        <v>4456</v>
      </c>
      <c r="O424" s="18" t="s">
        <v>4457</v>
      </c>
      <c r="P424" s="19" t="s">
        <v>373</v>
      </c>
      <c r="Q424" s="20" t="s">
        <v>4458</v>
      </c>
      <c r="R424" s="21" t="s">
        <v>79</v>
      </c>
      <c r="S424" s="22" t="s">
        <v>36</v>
      </c>
      <c r="T424" s="23" t="s">
        <v>4459</v>
      </c>
      <c r="U424" s="44" t="str">
        <f>HYPERLINK("https://my.pitchbook.com?p=234442-54P", "View people online")</f>
        <v>View people online</v>
      </c>
    </row>
    <row r="425" spans="1:21" x14ac:dyDescent="0.3">
      <c r="A425" s="24" t="s">
        <v>4460</v>
      </c>
      <c r="B425" s="25" t="s">
        <v>4461</v>
      </c>
      <c r="C425" s="26" t="s">
        <v>4462</v>
      </c>
      <c r="D425" s="27" t="s">
        <v>4463</v>
      </c>
      <c r="E425" s="28" t="s">
        <v>4464</v>
      </c>
      <c r="F425" s="29" t="s">
        <v>4465</v>
      </c>
      <c r="G425" s="30">
        <v>1</v>
      </c>
      <c r="H425" s="31">
        <v>1</v>
      </c>
      <c r="I425" s="32" t="s">
        <v>36</v>
      </c>
      <c r="J425" s="33" t="s">
        <v>4466</v>
      </c>
      <c r="K425" s="34" t="s">
        <v>4467</v>
      </c>
      <c r="L425" s="35" t="s">
        <v>4468</v>
      </c>
      <c r="M425" s="36" t="s">
        <v>4469</v>
      </c>
      <c r="N425" s="37" t="s">
        <v>36</v>
      </c>
      <c r="O425" s="38" t="s">
        <v>4470</v>
      </c>
      <c r="P425" s="39" t="s">
        <v>33</v>
      </c>
      <c r="Q425" s="40" t="s">
        <v>4471</v>
      </c>
      <c r="R425" s="41" t="s">
        <v>35</v>
      </c>
      <c r="S425" s="42" t="s">
        <v>36</v>
      </c>
      <c r="T425" s="43" t="s">
        <v>4472</v>
      </c>
      <c r="U425" s="45" t="str">
        <f>HYPERLINK("https://my.pitchbook.com?p=181973-08P", "View people online")</f>
        <v>View people online</v>
      </c>
    </row>
    <row r="426" spans="1:21" x14ac:dyDescent="0.3">
      <c r="A426" s="4" t="s">
        <v>4473</v>
      </c>
      <c r="B426" s="5" t="s">
        <v>4474</v>
      </c>
      <c r="C426" s="6" t="s">
        <v>4475</v>
      </c>
      <c r="D426" s="7" t="s">
        <v>4476</v>
      </c>
      <c r="E426" s="8" t="s">
        <v>354</v>
      </c>
      <c r="F426" s="9" t="s">
        <v>4477</v>
      </c>
      <c r="G426" s="10" t="s">
        <v>36</v>
      </c>
      <c r="H426" s="11">
        <v>1</v>
      </c>
      <c r="I426" s="12" t="s">
        <v>36</v>
      </c>
      <c r="J426" s="13" t="s">
        <v>4478</v>
      </c>
      <c r="K426" s="14" t="s">
        <v>4479</v>
      </c>
      <c r="L426" s="15" t="s">
        <v>183</v>
      </c>
      <c r="M426" s="16" t="s">
        <v>4480</v>
      </c>
      <c r="N426" s="17" t="s">
        <v>36</v>
      </c>
      <c r="O426" s="18" t="s">
        <v>186</v>
      </c>
      <c r="P426" s="19" t="s">
        <v>50</v>
      </c>
      <c r="Q426" s="20" t="s">
        <v>3250</v>
      </c>
      <c r="R426" s="21" t="s">
        <v>35</v>
      </c>
      <c r="S426" s="22" t="s">
        <v>36</v>
      </c>
      <c r="T426" s="23" t="s">
        <v>4481</v>
      </c>
      <c r="U426" s="44" t="str">
        <f>HYPERLINK("https://my.pitchbook.com?p=248661-46P", "View people online")</f>
        <v>View people online</v>
      </c>
    </row>
    <row r="427" spans="1:21" x14ac:dyDescent="0.3">
      <c r="A427" s="24" t="s">
        <v>4482</v>
      </c>
      <c r="B427" s="25" t="s">
        <v>4483</v>
      </c>
      <c r="C427" s="26" t="s">
        <v>4484</v>
      </c>
      <c r="D427" s="27" t="s">
        <v>522</v>
      </c>
      <c r="E427" s="28" t="s">
        <v>179</v>
      </c>
      <c r="F427" s="29" t="s">
        <v>4485</v>
      </c>
      <c r="G427" s="30" t="s">
        <v>36</v>
      </c>
      <c r="H427" s="31">
        <v>1</v>
      </c>
      <c r="I427" s="32" t="s">
        <v>36</v>
      </c>
      <c r="J427" s="33" t="s">
        <v>36</v>
      </c>
      <c r="K427" s="34" t="s">
        <v>4486</v>
      </c>
      <c r="L427" s="35" t="s">
        <v>183</v>
      </c>
      <c r="M427" s="36" t="s">
        <v>4487</v>
      </c>
      <c r="N427" s="37" t="s">
        <v>4488</v>
      </c>
      <c r="O427" s="38" t="s">
        <v>186</v>
      </c>
      <c r="P427" s="39" t="s">
        <v>50</v>
      </c>
      <c r="Q427" s="40" t="s">
        <v>575</v>
      </c>
      <c r="R427" s="41" t="s">
        <v>35</v>
      </c>
      <c r="S427" s="42" t="s">
        <v>36</v>
      </c>
      <c r="T427" s="43" t="s">
        <v>4489</v>
      </c>
      <c r="U427" s="45" t="str">
        <f>HYPERLINK("https://my.pitchbook.com?p=204240-34P", "View people online")</f>
        <v>View people online</v>
      </c>
    </row>
    <row r="428" spans="1:21" x14ac:dyDescent="0.3">
      <c r="A428" s="4" t="s">
        <v>4490</v>
      </c>
      <c r="B428" s="5" t="s">
        <v>4491</v>
      </c>
      <c r="C428" s="6" t="s">
        <v>4492</v>
      </c>
      <c r="D428" s="7" t="s">
        <v>522</v>
      </c>
      <c r="E428" s="8" t="s">
        <v>314</v>
      </c>
      <c r="F428" s="9" t="s">
        <v>4493</v>
      </c>
      <c r="G428" s="10">
        <v>1</v>
      </c>
      <c r="H428" s="11">
        <v>1</v>
      </c>
      <c r="I428" s="12" t="s">
        <v>36</v>
      </c>
      <c r="J428" s="13" t="s">
        <v>36</v>
      </c>
      <c r="K428" s="14" t="s">
        <v>4494</v>
      </c>
      <c r="L428" s="15" t="s">
        <v>183</v>
      </c>
      <c r="M428" s="16" t="s">
        <v>4495</v>
      </c>
      <c r="N428" s="17" t="s">
        <v>4496</v>
      </c>
      <c r="O428" s="18" t="s">
        <v>186</v>
      </c>
      <c r="P428" s="19" t="s">
        <v>50</v>
      </c>
      <c r="Q428" s="20" t="s">
        <v>187</v>
      </c>
      <c r="R428" s="21" t="s">
        <v>35</v>
      </c>
      <c r="S428" s="22" t="s">
        <v>36</v>
      </c>
      <c r="T428" s="23" t="s">
        <v>4497</v>
      </c>
      <c r="U428" s="44" t="str">
        <f>HYPERLINK("https://my.pitchbook.com?p=52971-67P", "View people online")</f>
        <v>View people online</v>
      </c>
    </row>
    <row r="429" spans="1:21" x14ac:dyDescent="0.3">
      <c r="A429" s="24" t="s">
        <v>4498</v>
      </c>
      <c r="B429" s="25" t="s">
        <v>4499</v>
      </c>
      <c r="C429" s="26" t="s">
        <v>4500</v>
      </c>
      <c r="D429" s="27" t="s">
        <v>522</v>
      </c>
      <c r="E429" s="28" t="s">
        <v>438</v>
      </c>
      <c r="F429" s="29" t="s">
        <v>4501</v>
      </c>
      <c r="G429" s="30">
        <v>1</v>
      </c>
      <c r="H429" s="31">
        <v>1</v>
      </c>
      <c r="I429" s="32" t="s">
        <v>36</v>
      </c>
      <c r="J429" s="33" t="s">
        <v>4502</v>
      </c>
      <c r="K429" s="34" t="s">
        <v>4503</v>
      </c>
      <c r="L429" s="35" t="s">
        <v>818</v>
      </c>
      <c r="M429" s="36" t="s">
        <v>4504</v>
      </c>
      <c r="N429" s="37" t="s">
        <v>36</v>
      </c>
      <c r="O429" s="38" t="s">
        <v>821</v>
      </c>
      <c r="P429" s="39" t="s">
        <v>50</v>
      </c>
      <c r="Q429" s="40" t="s">
        <v>4362</v>
      </c>
      <c r="R429" s="41" t="s">
        <v>35</v>
      </c>
      <c r="S429" s="42" t="s">
        <v>36</v>
      </c>
      <c r="T429" s="43" t="s">
        <v>4505</v>
      </c>
      <c r="U429" s="45" t="str">
        <f>HYPERLINK("https://my.pitchbook.com?p=123567-04P", "View people online")</f>
        <v>View people online</v>
      </c>
    </row>
    <row r="430" spans="1:21" x14ac:dyDescent="0.3">
      <c r="A430" s="4" t="s">
        <v>4506</v>
      </c>
      <c r="B430" s="5" t="s">
        <v>4507</v>
      </c>
      <c r="C430" s="6" t="s">
        <v>4508</v>
      </c>
      <c r="D430" s="7" t="s">
        <v>522</v>
      </c>
      <c r="E430" s="8" t="s">
        <v>4509</v>
      </c>
      <c r="F430" s="9" t="s">
        <v>4510</v>
      </c>
      <c r="G430" s="10">
        <v>1</v>
      </c>
      <c r="H430" s="11">
        <v>1</v>
      </c>
      <c r="I430" s="12" t="s">
        <v>36</v>
      </c>
      <c r="J430" s="13" t="s">
        <v>4511</v>
      </c>
      <c r="K430" s="14" t="s">
        <v>4512</v>
      </c>
      <c r="L430" s="15" t="s">
        <v>4513</v>
      </c>
      <c r="M430" s="16" t="s">
        <v>4514</v>
      </c>
      <c r="N430" s="17" t="s">
        <v>36</v>
      </c>
      <c r="O430" s="18" t="s">
        <v>4515</v>
      </c>
      <c r="P430" s="19" t="s">
        <v>1115</v>
      </c>
      <c r="Q430" s="20" t="s">
        <v>4516</v>
      </c>
      <c r="R430" s="21" t="s">
        <v>35</v>
      </c>
      <c r="S430" s="22" t="s">
        <v>36</v>
      </c>
      <c r="T430" s="23" t="s">
        <v>4517</v>
      </c>
      <c r="U430" s="44" t="str">
        <f>HYPERLINK("https://my.pitchbook.com?p=208465-66P", "View people online")</f>
        <v>View people online</v>
      </c>
    </row>
    <row r="431" spans="1:21" x14ac:dyDescent="0.3">
      <c r="A431" s="24" t="s">
        <v>4518</v>
      </c>
      <c r="B431" s="25" t="s">
        <v>4519</v>
      </c>
      <c r="C431" s="26" t="s">
        <v>4520</v>
      </c>
      <c r="D431" s="27" t="s">
        <v>4521</v>
      </c>
      <c r="E431" s="28" t="s">
        <v>314</v>
      </c>
      <c r="F431" s="29" t="s">
        <v>4522</v>
      </c>
      <c r="G431" s="30">
        <v>1</v>
      </c>
      <c r="H431" s="31">
        <v>1</v>
      </c>
      <c r="I431" s="32" t="s">
        <v>36</v>
      </c>
      <c r="J431" s="33" t="s">
        <v>4523</v>
      </c>
      <c r="K431" s="34" t="s">
        <v>4524</v>
      </c>
      <c r="L431" s="35" t="s">
        <v>2092</v>
      </c>
      <c r="M431" s="36" t="s">
        <v>4525</v>
      </c>
      <c r="N431" s="37" t="s">
        <v>4526</v>
      </c>
      <c r="O431" s="38" t="s">
        <v>2094</v>
      </c>
      <c r="P431" s="39" t="s">
        <v>50</v>
      </c>
      <c r="Q431" s="40" t="s">
        <v>2095</v>
      </c>
      <c r="R431" s="41" t="s">
        <v>35</v>
      </c>
      <c r="S431" s="42" t="s">
        <v>36</v>
      </c>
      <c r="T431" s="43" t="s">
        <v>4527</v>
      </c>
      <c r="U431" s="45" t="str">
        <f>HYPERLINK("https://my.pitchbook.com?p=235370-08P", "View people online")</f>
        <v>View people online</v>
      </c>
    </row>
    <row r="432" spans="1:21" x14ac:dyDescent="0.3">
      <c r="A432" s="4" t="s">
        <v>4528</v>
      </c>
      <c r="B432" s="5" t="s">
        <v>4529</v>
      </c>
      <c r="C432" s="6" t="s">
        <v>4530</v>
      </c>
      <c r="D432" s="7" t="s">
        <v>4531</v>
      </c>
      <c r="E432" s="8" t="s">
        <v>4532</v>
      </c>
      <c r="F432" s="9" t="s">
        <v>4533</v>
      </c>
      <c r="G432" s="10" t="s">
        <v>36</v>
      </c>
      <c r="H432" s="11">
        <v>1</v>
      </c>
      <c r="I432" s="12" t="s">
        <v>36</v>
      </c>
      <c r="J432" s="13" t="s">
        <v>36</v>
      </c>
      <c r="K432" s="14" t="s">
        <v>4534</v>
      </c>
      <c r="L432" s="15" t="s">
        <v>4535</v>
      </c>
      <c r="M432" s="16" t="s">
        <v>4536</v>
      </c>
      <c r="N432" s="17" t="s">
        <v>4537</v>
      </c>
      <c r="O432" s="18" t="s">
        <v>4538</v>
      </c>
      <c r="P432" s="19" t="s">
        <v>4433</v>
      </c>
      <c r="Q432" s="20" t="s">
        <v>4539</v>
      </c>
      <c r="R432" s="21" t="s">
        <v>79</v>
      </c>
      <c r="S432" s="22" t="s">
        <v>36</v>
      </c>
      <c r="T432" s="23" t="s">
        <v>4540</v>
      </c>
      <c r="U432" s="44" t="str">
        <f>HYPERLINK("https://my.pitchbook.com?p=68178-07P", "View people online")</f>
        <v>View people online</v>
      </c>
    </row>
    <row r="433" spans="1:21" x14ac:dyDescent="0.3">
      <c r="A433" s="24" t="s">
        <v>4541</v>
      </c>
      <c r="B433" s="25" t="s">
        <v>4542</v>
      </c>
      <c r="C433" s="26" t="s">
        <v>4543</v>
      </c>
      <c r="D433" s="27" t="s">
        <v>4544</v>
      </c>
      <c r="E433" s="28" t="s">
        <v>3021</v>
      </c>
      <c r="F433" s="29" t="s">
        <v>4545</v>
      </c>
      <c r="G433" s="30" t="s">
        <v>36</v>
      </c>
      <c r="H433" s="31">
        <v>1</v>
      </c>
      <c r="I433" s="32" t="s">
        <v>36</v>
      </c>
      <c r="J433" s="33" t="s">
        <v>4546</v>
      </c>
      <c r="K433" s="34" t="s">
        <v>4547</v>
      </c>
      <c r="L433" s="35" t="s">
        <v>344</v>
      </c>
      <c r="M433" s="36" t="s">
        <v>4548</v>
      </c>
      <c r="N433" s="37" t="s">
        <v>36</v>
      </c>
      <c r="O433" s="38" t="s">
        <v>347</v>
      </c>
      <c r="P433" s="39" t="s">
        <v>50</v>
      </c>
      <c r="Q433" s="40" t="s">
        <v>348</v>
      </c>
      <c r="R433" s="41" t="s">
        <v>35</v>
      </c>
      <c r="S433" s="42" t="s">
        <v>36</v>
      </c>
      <c r="T433" s="43" t="s">
        <v>4549</v>
      </c>
      <c r="U433" s="45" t="str">
        <f>HYPERLINK("https://my.pitchbook.com?p=104525-47P", "View people online")</f>
        <v>View people online</v>
      </c>
    </row>
    <row r="434" spans="1:21" x14ac:dyDescent="0.3">
      <c r="A434" s="4" t="s">
        <v>4550</v>
      </c>
      <c r="B434" s="5" t="s">
        <v>4551</v>
      </c>
      <c r="C434" s="6" t="s">
        <v>4552</v>
      </c>
      <c r="D434" s="7" t="s">
        <v>4544</v>
      </c>
      <c r="E434" s="8" t="s">
        <v>128</v>
      </c>
      <c r="F434" s="9" t="s">
        <v>4553</v>
      </c>
      <c r="G434" s="10" t="s">
        <v>36</v>
      </c>
      <c r="H434" s="11">
        <v>1</v>
      </c>
      <c r="I434" s="12" t="s">
        <v>36</v>
      </c>
      <c r="J434" s="13" t="s">
        <v>36</v>
      </c>
      <c r="K434" s="14" t="s">
        <v>4554</v>
      </c>
      <c r="L434" s="15" t="s">
        <v>250</v>
      </c>
      <c r="M434" s="16" t="s">
        <v>4555</v>
      </c>
      <c r="N434" s="17" t="s">
        <v>36</v>
      </c>
      <c r="O434" s="18" t="s">
        <v>253</v>
      </c>
      <c r="P434" s="19" t="s">
        <v>50</v>
      </c>
      <c r="Q434" s="20" t="s">
        <v>4556</v>
      </c>
      <c r="R434" s="21" t="s">
        <v>35</v>
      </c>
      <c r="S434" s="22" t="s">
        <v>36</v>
      </c>
      <c r="T434" s="23" t="s">
        <v>4557</v>
      </c>
      <c r="U434" s="44" t="str">
        <f>HYPERLINK("https://my.pitchbook.com?p=145366-03P", "View people online")</f>
        <v>View people online</v>
      </c>
    </row>
    <row r="435" spans="1:21" x14ac:dyDescent="0.3">
      <c r="A435" s="24" t="s">
        <v>4558</v>
      </c>
      <c r="B435" s="25" t="s">
        <v>4559</v>
      </c>
      <c r="C435" s="26" t="s">
        <v>4560</v>
      </c>
      <c r="D435" s="27" t="s">
        <v>4561</v>
      </c>
      <c r="E435" s="28" t="s">
        <v>1431</v>
      </c>
      <c r="F435" s="29" t="s">
        <v>4562</v>
      </c>
      <c r="G435" s="30">
        <v>1</v>
      </c>
      <c r="H435" s="31">
        <v>1</v>
      </c>
      <c r="I435" s="32" t="s">
        <v>36</v>
      </c>
      <c r="J435" s="33" t="s">
        <v>4563</v>
      </c>
      <c r="K435" s="34" t="s">
        <v>4564</v>
      </c>
      <c r="L435" s="35" t="s">
        <v>224</v>
      </c>
      <c r="M435" s="36" t="s">
        <v>4565</v>
      </c>
      <c r="N435" s="37" t="s">
        <v>36</v>
      </c>
      <c r="O435" s="38" t="s">
        <v>226</v>
      </c>
      <c r="P435" s="39" t="s">
        <v>50</v>
      </c>
      <c r="Q435" s="40" t="s">
        <v>359</v>
      </c>
      <c r="R435" s="41" t="s">
        <v>35</v>
      </c>
      <c r="S435" s="42" t="s">
        <v>36</v>
      </c>
      <c r="T435" s="43" t="s">
        <v>4566</v>
      </c>
      <c r="U435" s="45" t="str">
        <f>HYPERLINK("https://my.pitchbook.com?p=202638-88P", "View people online")</f>
        <v>View people online</v>
      </c>
    </row>
    <row r="436" spans="1:21" x14ac:dyDescent="0.3">
      <c r="A436" s="4" t="s">
        <v>4567</v>
      </c>
      <c r="B436" s="5" t="s">
        <v>4568</v>
      </c>
      <c r="C436" s="6" t="s">
        <v>4569</v>
      </c>
      <c r="D436" s="7" t="s">
        <v>4570</v>
      </c>
      <c r="E436" s="8" t="s">
        <v>1912</v>
      </c>
      <c r="F436" s="9" t="s">
        <v>4571</v>
      </c>
      <c r="G436" s="10" t="s">
        <v>36</v>
      </c>
      <c r="H436" s="11">
        <v>1</v>
      </c>
      <c r="I436" s="12" t="s">
        <v>36</v>
      </c>
      <c r="J436" s="13" t="s">
        <v>4572</v>
      </c>
      <c r="K436" s="14" t="s">
        <v>4573</v>
      </c>
      <c r="L436" s="15" t="s">
        <v>1136</v>
      </c>
      <c r="M436" s="16" t="s">
        <v>4574</v>
      </c>
      <c r="N436" s="17" t="s">
        <v>1916</v>
      </c>
      <c r="O436" s="18" t="s">
        <v>1139</v>
      </c>
      <c r="P436" s="19" t="s">
        <v>1140</v>
      </c>
      <c r="Q436" s="20" t="s">
        <v>1791</v>
      </c>
      <c r="R436" s="21" t="s">
        <v>35</v>
      </c>
      <c r="S436" s="22" t="s">
        <v>36</v>
      </c>
      <c r="T436" s="23" t="s">
        <v>4575</v>
      </c>
      <c r="U436" s="44" t="str">
        <f>HYPERLINK("https://my.pitchbook.com?p=49216-87P", "View people online")</f>
        <v>View people online</v>
      </c>
    </row>
    <row r="437" spans="1:21" x14ac:dyDescent="0.3">
      <c r="A437" s="24" t="s">
        <v>4576</v>
      </c>
      <c r="B437" s="25" t="s">
        <v>4577</v>
      </c>
      <c r="C437" s="26" t="s">
        <v>4578</v>
      </c>
      <c r="D437" s="27" t="s">
        <v>4579</v>
      </c>
      <c r="E437" s="28" t="s">
        <v>1731</v>
      </c>
      <c r="F437" s="29" t="s">
        <v>4580</v>
      </c>
      <c r="G437" s="30">
        <v>1</v>
      </c>
      <c r="H437" s="31">
        <v>1</v>
      </c>
      <c r="I437" s="32" t="s">
        <v>36</v>
      </c>
      <c r="J437" s="33" t="s">
        <v>4581</v>
      </c>
      <c r="K437" s="34" t="s">
        <v>4582</v>
      </c>
      <c r="L437" s="35" t="s">
        <v>4583</v>
      </c>
      <c r="M437" s="36" t="s">
        <v>4584</v>
      </c>
      <c r="N437" s="37" t="s">
        <v>4585</v>
      </c>
      <c r="O437" s="38" t="s">
        <v>4586</v>
      </c>
      <c r="P437" s="39" t="s">
        <v>50</v>
      </c>
      <c r="Q437" s="40" t="s">
        <v>4587</v>
      </c>
      <c r="R437" s="41" t="s">
        <v>35</v>
      </c>
      <c r="S437" s="42" t="s">
        <v>36</v>
      </c>
      <c r="T437" s="43" t="s">
        <v>4588</v>
      </c>
      <c r="U437" s="45" t="str">
        <f>HYPERLINK("https://my.pitchbook.com?p=79895-17P", "View people online")</f>
        <v>View people online</v>
      </c>
    </row>
    <row r="438" spans="1:21" x14ac:dyDescent="0.3">
      <c r="A438" s="4" t="s">
        <v>4589</v>
      </c>
      <c r="B438" s="5" t="s">
        <v>4590</v>
      </c>
      <c r="C438" s="6" t="s">
        <v>4591</v>
      </c>
      <c r="D438" s="7" t="s">
        <v>4592</v>
      </c>
      <c r="E438" s="8" t="s">
        <v>4593</v>
      </c>
      <c r="F438" s="9" t="s">
        <v>4594</v>
      </c>
      <c r="G438" s="10" t="s">
        <v>36</v>
      </c>
      <c r="H438" s="11">
        <v>1</v>
      </c>
      <c r="I438" s="12" t="s">
        <v>36</v>
      </c>
      <c r="J438" s="13" t="s">
        <v>36</v>
      </c>
      <c r="K438" s="14" t="s">
        <v>4595</v>
      </c>
      <c r="L438" s="15" t="s">
        <v>224</v>
      </c>
      <c r="M438" s="16" t="s">
        <v>4596</v>
      </c>
      <c r="N438" s="17" t="s">
        <v>36</v>
      </c>
      <c r="O438" s="18" t="s">
        <v>226</v>
      </c>
      <c r="P438" s="19" t="s">
        <v>50</v>
      </c>
      <c r="Q438" s="20" t="s">
        <v>776</v>
      </c>
      <c r="R438" s="21" t="s">
        <v>35</v>
      </c>
      <c r="S438" s="22" t="s">
        <v>36</v>
      </c>
      <c r="T438" s="23" t="s">
        <v>4597</v>
      </c>
      <c r="U438" s="44" t="str">
        <f>HYPERLINK("https://my.pitchbook.com?p=186554-89P", "View people online")</f>
        <v>View people online</v>
      </c>
    </row>
    <row r="439" spans="1:21" x14ac:dyDescent="0.3">
      <c r="A439" s="24" t="s">
        <v>4598</v>
      </c>
      <c r="B439" s="25" t="s">
        <v>4599</v>
      </c>
      <c r="C439" s="26" t="s">
        <v>4600</v>
      </c>
      <c r="D439" s="27" t="s">
        <v>4592</v>
      </c>
      <c r="E439" s="28" t="s">
        <v>1912</v>
      </c>
      <c r="F439" s="29" t="s">
        <v>4601</v>
      </c>
      <c r="G439" s="30" t="s">
        <v>36</v>
      </c>
      <c r="H439" s="31">
        <v>1</v>
      </c>
      <c r="I439" s="32" t="s">
        <v>36</v>
      </c>
      <c r="J439" s="33" t="s">
        <v>36</v>
      </c>
      <c r="K439" s="34" t="s">
        <v>4602</v>
      </c>
      <c r="L439" s="35" t="s">
        <v>295</v>
      </c>
      <c r="M439" s="36" t="s">
        <v>4603</v>
      </c>
      <c r="N439" s="37" t="s">
        <v>36</v>
      </c>
      <c r="O439" s="38" t="s">
        <v>298</v>
      </c>
      <c r="P439" s="39" t="s">
        <v>50</v>
      </c>
      <c r="Q439" s="40" t="s">
        <v>4604</v>
      </c>
      <c r="R439" s="41" t="s">
        <v>35</v>
      </c>
      <c r="S439" s="42" t="s">
        <v>36</v>
      </c>
      <c r="T439" s="43" t="s">
        <v>4605</v>
      </c>
      <c r="U439" s="45" t="str">
        <f>HYPERLINK("https://my.pitchbook.com?p=203206-15P", "View people online")</f>
        <v>View people online</v>
      </c>
    </row>
    <row r="440" spans="1:21" x14ac:dyDescent="0.3">
      <c r="A440" s="4" t="s">
        <v>4606</v>
      </c>
      <c r="B440" s="5" t="s">
        <v>4607</v>
      </c>
      <c r="C440" s="6" t="s">
        <v>4427</v>
      </c>
      <c r="D440" s="7" t="s">
        <v>1412</v>
      </c>
      <c r="E440" s="8" t="s">
        <v>128</v>
      </c>
      <c r="F440" s="9" t="s">
        <v>4608</v>
      </c>
      <c r="G440" s="10" t="s">
        <v>36</v>
      </c>
      <c r="H440" s="11">
        <v>1</v>
      </c>
      <c r="I440" s="12" t="s">
        <v>36</v>
      </c>
      <c r="J440" s="13" t="s">
        <v>4609</v>
      </c>
      <c r="K440" s="14" t="s">
        <v>4610</v>
      </c>
      <c r="L440" s="15" t="s">
        <v>73</v>
      </c>
      <c r="M440" s="16" t="s">
        <v>4611</v>
      </c>
      <c r="N440" s="17" t="s">
        <v>4612</v>
      </c>
      <c r="O440" s="18" t="s">
        <v>76</v>
      </c>
      <c r="P440" s="19" t="s">
        <v>4613</v>
      </c>
      <c r="Q440" s="20" t="s">
        <v>4614</v>
      </c>
      <c r="R440" s="21" t="s">
        <v>79</v>
      </c>
      <c r="S440" s="22" t="s">
        <v>36</v>
      </c>
      <c r="T440" s="23" t="s">
        <v>4615</v>
      </c>
      <c r="U440" s="44" t="str">
        <f>HYPERLINK("https://my.pitchbook.com?p=210439-81P", "View people online")</f>
        <v>View people online</v>
      </c>
    </row>
    <row r="441" spans="1:21" x14ac:dyDescent="0.3">
      <c r="A441" s="24" t="s">
        <v>4616</v>
      </c>
      <c r="B441" s="25" t="s">
        <v>4617</v>
      </c>
      <c r="C441" s="26" t="s">
        <v>4618</v>
      </c>
      <c r="D441" s="27" t="s">
        <v>4619</v>
      </c>
      <c r="E441" s="28" t="s">
        <v>179</v>
      </c>
      <c r="F441" s="29" t="s">
        <v>4620</v>
      </c>
      <c r="G441" s="30" t="s">
        <v>36</v>
      </c>
      <c r="H441" s="31">
        <v>1</v>
      </c>
      <c r="I441" s="32" t="s">
        <v>36</v>
      </c>
      <c r="J441" s="33" t="s">
        <v>36</v>
      </c>
      <c r="K441" s="34" t="s">
        <v>4621</v>
      </c>
      <c r="L441" s="35" t="s">
        <v>1404</v>
      </c>
      <c r="M441" s="36" t="s">
        <v>2286</v>
      </c>
      <c r="N441" s="37" t="s">
        <v>4622</v>
      </c>
      <c r="O441" s="38" t="s">
        <v>1407</v>
      </c>
      <c r="P441" s="39" t="s">
        <v>50</v>
      </c>
      <c r="Q441" s="40" t="s">
        <v>1417</v>
      </c>
      <c r="R441" s="41" t="s">
        <v>35</v>
      </c>
      <c r="S441" s="42" t="s">
        <v>36</v>
      </c>
      <c r="T441" s="43" t="s">
        <v>4623</v>
      </c>
      <c r="U441" s="45" t="str">
        <f>HYPERLINK("https://my.pitchbook.com?p=102561-04P", "View people online")</f>
        <v>View people online</v>
      </c>
    </row>
    <row r="442" spans="1:21" x14ac:dyDescent="0.3">
      <c r="A442" s="4" t="s">
        <v>4624</v>
      </c>
      <c r="B442" s="5" t="s">
        <v>4625</v>
      </c>
      <c r="C442" s="6" t="s">
        <v>4626</v>
      </c>
      <c r="D442" s="7" t="s">
        <v>4627</v>
      </c>
      <c r="E442" s="8" t="s">
        <v>4628</v>
      </c>
      <c r="F442" s="9" t="s">
        <v>4629</v>
      </c>
      <c r="G442" s="10" t="s">
        <v>36</v>
      </c>
      <c r="H442" s="11">
        <v>1</v>
      </c>
      <c r="I442" s="12" t="s">
        <v>36</v>
      </c>
      <c r="J442" s="13" t="s">
        <v>36</v>
      </c>
      <c r="K442" s="14" t="s">
        <v>4630</v>
      </c>
      <c r="L442" s="15" t="s">
        <v>397</v>
      </c>
      <c r="M442" s="16" t="s">
        <v>4631</v>
      </c>
      <c r="N442" s="17" t="s">
        <v>36</v>
      </c>
      <c r="O442" s="18" t="s">
        <v>400</v>
      </c>
      <c r="P442" s="19" t="s">
        <v>400</v>
      </c>
      <c r="Q442" s="20" t="s">
        <v>1642</v>
      </c>
      <c r="R442" s="21" t="s">
        <v>35</v>
      </c>
      <c r="S442" s="22" t="s">
        <v>36</v>
      </c>
      <c r="T442" s="23" t="s">
        <v>4632</v>
      </c>
      <c r="U442" s="44" t="str">
        <f>HYPERLINK("https://my.pitchbook.com?p=221693-05P", "View people online")</f>
        <v>View people online</v>
      </c>
    </row>
    <row r="443" spans="1:21" x14ac:dyDescent="0.3">
      <c r="A443" s="24" t="s">
        <v>4633</v>
      </c>
      <c r="B443" s="25" t="s">
        <v>4634</v>
      </c>
      <c r="C443" s="26" t="s">
        <v>4635</v>
      </c>
      <c r="D443" s="27" t="s">
        <v>4636</v>
      </c>
      <c r="E443" s="28" t="s">
        <v>86</v>
      </c>
      <c r="F443" s="29" t="s">
        <v>4637</v>
      </c>
      <c r="G443" s="30" t="s">
        <v>36</v>
      </c>
      <c r="H443" s="31">
        <v>1</v>
      </c>
      <c r="I443" s="32" t="s">
        <v>36</v>
      </c>
      <c r="J443" s="33" t="s">
        <v>4638</v>
      </c>
      <c r="K443" s="34" t="s">
        <v>4639</v>
      </c>
      <c r="L443" s="35" t="s">
        <v>318</v>
      </c>
      <c r="M443" s="36" t="s">
        <v>4640</v>
      </c>
      <c r="N443" s="37" t="s">
        <v>4641</v>
      </c>
      <c r="O443" s="38" t="s">
        <v>321</v>
      </c>
      <c r="P443" s="39" t="s">
        <v>50</v>
      </c>
      <c r="Q443" s="40" t="s">
        <v>322</v>
      </c>
      <c r="R443" s="41" t="s">
        <v>35</v>
      </c>
      <c r="S443" s="42" t="s">
        <v>36</v>
      </c>
      <c r="T443" s="43" t="s">
        <v>4642</v>
      </c>
      <c r="U443" s="45" t="str">
        <f>HYPERLINK("https://my.pitchbook.com?p=143603-74P", "View people online")</f>
        <v>View people online</v>
      </c>
    </row>
    <row r="444" spans="1:21" x14ac:dyDescent="0.3">
      <c r="A444" s="4" t="s">
        <v>4643</v>
      </c>
      <c r="B444" s="5" t="s">
        <v>4644</v>
      </c>
      <c r="C444" s="6" t="s">
        <v>4645</v>
      </c>
      <c r="D444" s="7" t="s">
        <v>4646</v>
      </c>
      <c r="E444" s="8" t="s">
        <v>179</v>
      </c>
      <c r="F444" s="9" t="s">
        <v>4647</v>
      </c>
      <c r="G444" s="10" t="s">
        <v>36</v>
      </c>
      <c r="H444" s="11">
        <v>1</v>
      </c>
      <c r="I444" s="12" t="s">
        <v>36</v>
      </c>
      <c r="J444" s="13" t="s">
        <v>36</v>
      </c>
      <c r="K444" s="14" t="s">
        <v>4648</v>
      </c>
      <c r="L444" s="15" t="s">
        <v>384</v>
      </c>
      <c r="M444" s="16" t="s">
        <v>4649</v>
      </c>
      <c r="N444" s="17" t="s">
        <v>36</v>
      </c>
      <c r="O444" s="18" t="s">
        <v>386</v>
      </c>
      <c r="P444" s="19" t="s">
        <v>36</v>
      </c>
      <c r="Q444" s="20" t="s">
        <v>4650</v>
      </c>
      <c r="R444" s="21" t="s">
        <v>388</v>
      </c>
      <c r="S444" s="22" t="s">
        <v>36</v>
      </c>
      <c r="T444" s="23" t="s">
        <v>4651</v>
      </c>
      <c r="U444" s="44" t="str">
        <f>HYPERLINK("https://my.pitchbook.com?p=103942-81P", "View people online")</f>
        <v>View people online</v>
      </c>
    </row>
    <row r="445" spans="1:21" x14ac:dyDescent="0.3">
      <c r="A445" s="24" t="s">
        <v>4652</v>
      </c>
      <c r="B445" s="25" t="s">
        <v>4653</v>
      </c>
      <c r="C445" s="26" t="s">
        <v>4654</v>
      </c>
      <c r="D445" s="27" t="s">
        <v>4655</v>
      </c>
      <c r="E445" s="28" t="s">
        <v>438</v>
      </c>
      <c r="F445" s="29" t="s">
        <v>4656</v>
      </c>
      <c r="G445" s="30">
        <v>1</v>
      </c>
      <c r="H445" s="31">
        <v>1</v>
      </c>
      <c r="I445" s="32" t="s">
        <v>36</v>
      </c>
      <c r="J445" s="33" t="s">
        <v>4657</v>
      </c>
      <c r="K445" s="34" t="s">
        <v>4658</v>
      </c>
      <c r="L445" s="35" t="s">
        <v>157</v>
      </c>
      <c r="M445" s="36" t="s">
        <v>4659</v>
      </c>
      <c r="N445" s="37" t="s">
        <v>320</v>
      </c>
      <c r="O445" s="38" t="s">
        <v>159</v>
      </c>
      <c r="P445" s="39" t="s">
        <v>50</v>
      </c>
      <c r="Q445" s="40" t="s">
        <v>4660</v>
      </c>
      <c r="R445" s="41" t="s">
        <v>35</v>
      </c>
      <c r="S445" s="42" t="s">
        <v>36</v>
      </c>
      <c r="T445" s="43" t="s">
        <v>4661</v>
      </c>
      <c r="U445" s="45" t="str">
        <f>HYPERLINK("https://my.pitchbook.com?p=143558-83P", "View people online")</f>
        <v>View people online</v>
      </c>
    </row>
    <row r="446" spans="1:21" x14ac:dyDescent="0.3">
      <c r="A446" s="4" t="s">
        <v>4662</v>
      </c>
      <c r="B446" s="5" t="s">
        <v>4663</v>
      </c>
      <c r="C446" s="6" t="s">
        <v>4664</v>
      </c>
      <c r="D446" s="7" t="s">
        <v>4665</v>
      </c>
      <c r="E446" s="8" t="s">
        <v>4666</v>
      </c>
      <c r="F446" s="9" t="s">
        <v>4667</v>
      </c>
      <c r="G446" s="10">
        <v>1</v>
      </c>
      <c r="H446" s="11">
        <v>1</v>
      </c>
      <c r="I446" s="12" t="s">
        <v>36</v>
      </c>
      <c r="J446" s="13" t="s">
        <v>4668</v>
      </c>
      <c r="K446" s="14" t="s">
        <v>4669</v>
      </c>
      <c r="L446" s="15" t="s">
        <v>183</v>
      </c>
      <c r="M446" s="16" t="s">
        <v>4670</v>
      </c>
      <c r="N446" s="17" t="s">
        <v>1903</v>
      </c>
      <c r="O446" s="18" t="s">
        <v>186</v>
      </c>
      <c r="P446" s="19" t="s">
        <v>50</v>
      </c>
      <c r="Q446" s="20" t="s">
        <v>444</v>
      </c>
      <c r="R446" s="21" t="s">
        <v>35</v>
      </c>
      <c r="S446" s="22" t="s">
        <v>36</v>
      </c>
      <c r="T446" s="23" t="s">
        <v>4671</v>
      </c>
      <c r="U446" s="44" t="str">
        <f>HYPERLINK("https://my.pitchbook.com?p=168924-97P", "View people online")</f>
        <v>View people online</v>
      </c>
    </row>
    <row r="447" spans="1:21" x14ac:dyDescent="0.3">
      <c r="A447" s="24" t="s">
        <v>4672</v>
      </c>
      <c r="B447" s="25" t="s">
        <v>4673</v>
      </c>
      <c r="C447" s="26" t="s">
        <v>4674</v>
      </c>
      <c r="D447" s="27" t="s">
        <v>4675</v>
      </c>
      <c r="E447" s="28" t="s">
        <v>340</v>
      </c>
      <c r="F447" s="29" t="s">
        <v>2061</v>
      </c>
      <c r="G447" s="30">
        <v>1</v>
      </c>
      <c r="H447" s="31">
        <v>1</v>
      </c>
      <c r="I447" s="32" t="s">
        <v>36</v>
      </c>
      <c r="J447" s="33" t="s">
        <v>36</v>
      </c>
      <c r="K447" s="34" t="s">
        <v>4676</v>
      </c>
      <c r="L447" s="35" t="s">
        <v>224</v>
      </c>
      <c r="M447" s="36" t="s">
        <v>4677</v>
      </c>
      <c r="N447" s="37" t="s">
        <v>36</v>
      </c>
      <c r="O447" s="38" t="s">
        <v>226</v>
      </c>
      <c r="P447" s="39" t="s">
        <v>50</v>
      </c>
      <c r="Q447" s="40" t="s">
        <v>359</v>
      </c>
      <c r="R447" s="41" t="s">
        <v>35</v>
      </c>
      <c r="S447" s="42" t="s">
        <v>36</v>
      </c>
      <c r="T447" s="43" t="s">
        <v>4678</v>
      </c>
      <c r="U447" s="45" t="str">
        <f>HYPERLINK("https://my.pitchbook.com?p=124606-81P", "View people online")</f>
        <v>View people online</v>
      </c>
    </row>
    <row r="448" spans="1:21" x14ac:dyDescent="0.3">
      <c r="A448" s="4" t="s">
        <v>4679</v>
      </c>
      <c r="B448" s="5" t="s">
        <v>4680</v>
      </c>
      <c r="C448" s="6" t="s">
        <v>4681</v>
      </c>
      <c r="D448" s="7" t="s">
        <v>4682</v>
      </c>
      <c r="E448" s="8" t="s">
        <v>179</v>
      </c>
      <c r="F448" s="9" t="s">
        <v>4683</v>
      </c>
      <c r="G448" s="10" t="s">
        <v>36</v>
      </c>
      <c r="H448" s="11">
        <v>1</v>
      </c>
      <c r="I448" s="12" t="s">
        <v>36</v>
      </c>
      <c r="J448" s="13" t="s">
        <v>36</v>
      </c>
      <c r="K448" s="14" t="s">
        <v>4684</v>
      </c>
      <c r="L448" s="15" t="s">
        <v>183</v>
      </c>
      <c r="M448" s="16" t="s">
        <v>4685</v>
      </c>
      <c r="N448" s="17" t="s">
        <v>36</v>
      </c>
      <c r="O448" s="18" t="s">
        <v>186</v>
      </c>
      <c r="P448" s="19" t="s">
        <v>50</v>
      </c>
      <c r="Q448" s="20" t="s">
        <v>575</v>
      </c>
      <c r="R448" s="21" t="s">
        <v>35</v>
      </c>
      <c r="S448" s="22" t="s">
        <v>36</v>
      </c>
      <c r="T448" s="23" t="s">
        <v>4686</v>
      </c>
      <c r="U448" s="44" t="str">
        <f>HYPERLINK("https://my.pitchbook.com?p=200846-35P", "View people online")</f>
        <v>View people online</v>
      </c>
    </row>
    <row r="449" spans="1:21" x14ac:dyDescent="0.3">
      <c r="A449" s="24" t="s">
        <v>4687</v>
      </c>
      <c r="B449" s="25" t="s">
        <v>4688</v>
      </c>
      <c r="C449" s="26" t="s">
        <v>4689</v>
      </c>
      <c r="D449" s="27" t="s">
        <v>4690</v>
      </c>
      <c r="E449" s="28" t="s">
        <v>179</v>
      </c>
      <c r="F449" s="29" t="s">
        <v>4691</v>
      </c>
      <c r="G449" s="30" t="s">
        <v>36</v>
      </c>
      <c r="H449" s="31">
        <v>1</v>
      </c>
      <c r="I449" s="32" t="s">
        <v>36</v>
      </c>
      <c r="J449" s="33" t="s">
        <v>4692</v>
      </c>
      <c r="K449" s="34" t="s">
        <v>4693</v>
      </c>
      <c r="L449" s="35" t="s">
        <v>183</v>
      </c>
      <c r="M449" s="36" t="s">
        <v>2217</v>
      </c>
      <c r="N449" s="37" t="s">
        <v>4694</v>
      </c>
      <c r="O449" s="38" t="s">
        <v>186</v>
      </c>
      <c r="P449" s="39" t="s">
        <v>50</v>
      </c>
      <c r="Q449" s="40" t="s">
        <v>266</v>
      </c>
      <c r="R449" s="41" t="s">
        <v>35</v>
      </c>
      <c r="S449" s="42" t="s">
        <v>4695</v>
      </c>
      <c r="T449" s="43" t="s">
        <v>4696</v>
      </c>
      <c r="U449" s="45" t="str">
        <f>HYPERLINK("https://my.pitchbook.com?p=226045-99P", "View people online")</f>
        <v>View people online</v>
      </c>
    </row>
    <row r="450" spans="1:21" x14ac:dyDescent="0.3">
      <c r="A450" s="4" t="s">
        <v>4697</v>
      </c>
      <c r="B450" s="5" t="s">
        <v>4698</v>
      </c>
      <c r="C450" s="6" t="s">
        <v>4699</v>
      </c>
      <c r="D450" s="7" t="s">
        <v>4700</v>
      </c>
      <c r="E450" s="8" t="s">
        <v>2712</v>
      </c>
      <c r="F450" s="9" t="s">
        <v>4701</v>
      </c>
      <c r="G450" s="10" t="s">
        <v>36</v>
      </c>
      <c r="H450" s="11">
        <v>1</v>
      </c>
      <c r="I450" s="12" t="s">
        <v>36</v>
      </c>
      <c r="J450" s="13" t="s">
        <v>36</v>
      </c>
      <c r="K450" s="14" t="s">
        <v>4702</v>
      </c>
      <c r="L450" s="15" t="s">
        <v>818</v>
      </c>
      <c r="M450" s="16" t="s">
        <v>36</v>
      </c>
      <c r="N450" s="17" t="s">
        <v>36</v>
      </c>
      <c r="O450" s="18" t="s">
        <v>821</v>
      </c>
      <c r="P450" s="19" t="s">
        <v>50</v>
      </c>
      <c r="Q450" s="20" t="s">
        <v>4362</v>
      </c>
      <c r="R450" s="21" t="s">
        <v>35</v>
      </c>
      <c r="S450" s="22" t="s">
        <v>36</v>
      </c>
      <c r="T450" s="23" t="s">
        <v>4703</v>
      </c>
      <c r="U450" s="44" t="str">
        <f>HYPERLINK("https://my.pitchbook.com?p=134703-82P", "View people online")</f>
        <v>View people online</v>
      </c>
    </row>
    <row r="451" spans="1:21" x14ac:dyDescent="0.3">
      <c r="A451" s="24" t="s">
        <v>4704</v>
      </c>
      <c r="B451" s="25" t="s">
        <v>4705</v>
      </c>
      <c r="C451" s="26" t="s">
        <v>4706</v>
      </c>
      <c r="D451" s="27" t="s">
        <v>4707</v>
      </c>
      <c r="E451" s="28" t="s">
        <v>1912</v>
      </c>
      <c r="F451" s="29" t="s">
        <v>4708</v>
      </c>
      <c r="G451" s="30" t="s">
        <v>36</v>
      </c>
      <c r="H451" s="31">
        <v>1</v>
      </c>
      <c r="I451" s="32" t="s">
        <v>36</v>
      </c>
      <c r="J451" s="33" t="s">
        <v>36</v>
      </c>
      <c r="K451" s="34" t="s">
        <v>4709</v>
      </c>
      <c r="L451" s="35" t="s">
        <v>1069</v>
      </c>
      <c r="M451" s="36" t="s">
        <v>4710</v>
      </c>
      <c r="N451" s="37" t="s">
        <v>36</v>
      </c>
      <c r="O451" s="38" t="s">
        <v>1072</v>
      </c>
      <c r="P451" s="39" t="s">
        <v>50</v>
      </c>
      <c r="Q451" s="40" t="s">
        <v>4082</v>
      </c>
      <c r="R451" s="41" t="s">
        <v>35</v>
      </c>
      <c r="S451" s="42" t="s">
        <v>36</v>
      </c>
      <c r="T451" s="43" t="s">
        <v>4711</v>
      </c>
      <c r="U451" s="45" t="str">
        <f>HYPERLINK("https://my.pitchbook.com?p=64393-75P", "View people online")</f>
        <v>View people online</v>
      </c>
    </row>
    <row r="452" spans="1:21" x14ac:dyDescent="0.3">
      <c r="A452" s="4" t="s">
        <v>4712</v>
      </c>
      <c r="B452" s="5" t="s">
        <v>4713</v>
      </c>
      <c r="C452" s="6" t="s">
        <v>4714</v>
      </c>
      <c r="D452" s="7" t="s">
        <v>4715</v>
      </c>
      <c r="E452" s="8" t="s">
        <v>4716</v>
      </c>
      <c r="F452" s="9" t="s">
        <v>4717</v>
      </c>
      <c r="G452" s="10">
        <v>1</v>
      </c>
      <c r="H452" s="11">
        <v>1</v>
      </c>
      <c r="I452" s="12" t="s">
        <v>36</v>
      </c>
      <c r="J452" s="13" t="s">
        <v>4718</v>
      </c>
      <c r="K452" s="14" t="s">
        <v>4719</v>
      </c>
      <c r="L452" s="15" t="s">
        <v>2397</v>
      </c>
      <c r="M452" s="16" t="s">
        <v>4720</v>
      </c>
      <c r="N452" s="17" t="s">
        <v>4721</v>
      </c>
      <c r="O452" s="18" t="s">
        <v>1114</v>
      </c>
      <c r="P452" s="19" t="s">
        <v>1208</v>
      </c>
      <c r="Q452" s="20" t="s">
        <v>4722</v>
      </c>
      <c r="R452" s="21" t="s">
        <v>1210</v>
      </c>
      <c r="S452" s="22" t="s">
        <v>36</v>
      </c>
      <c r="T452" s="23" t="s">
        <v>4723</v>
      </c>
      <c r="U452" s="44" t="str">
        <f>HYPERLINK("https://my.pitchbook.com?p=129372-13P", "View people online")</f>
        <v>View people online</v>
      </c>
    </row>
    <row r="453" spans="1:21" x14ac:dyDescent="0.3">
      <c r="A453" s="24" t="s">
        <v>4724</v>
      </c>
      <c r="B453" s="25" t="s">
        <v>4713</v>
      </c>
      <c r="C453" s="26" t="s">
        <v>4714</v>
      </c>
      <c r="D453" s="27" t="s">
        <v>4715</v>
      </c>
      <c r="E453" s="28" t="s">
        <v>86</v>
      </c>
      <c r="F453" s="29" t="s">
        <v>4725</v>
      </c>
      <c r="G453" s="30" t="s">
        <v>36</v>
      </c>
      <c r="H453" s="31">
        <v>1</v>
      </c>
      <c r="I453" s="32" t="s">
        <v>36</v>
      </c>
      <c r="J453" s="33" t="s">
        <v>4726</v>
      </c>
      <c r="K453" s="34" t="s">
        <v>36</v>
      </c>
      <c r="L453" s="35" t="s">
        <v>2397</v>
      </c>
      <c r="M453" s="36" t="s">
        <v>4727</v>
      </c>
      <c r="N453" s="37" t="s">
        <v>4728</v>
      </c>
      <c r="O453" s="38" t="s">
        <v>1114</v>
      </c>
      <c r="P453" s="39" t="s">
        <v>1208</v>
      </c>
      <c r="Q453" s="40" t="s">
        <v>4729</v>
      </c>
      <c r="R453" s="41" t="s">
        <v>1210</v>
      </c>
      <c r="S453" s="42" t="s">
        <v>36</v>
      </c>
      <c r="T453" s="43" t="s">
        <v>4730</v>
      </c>
      <c r="U453" s="45" t="str">
        <f>HYPERLINK("https://my.pitchbook.com?p=144771-94P", "View people online")</f>
        <v>View people online</v>
      </c>
    </row>
    <row r="454" spans="1:21" x14ac:dyDescent="0.3">
      <c r="A454" s="4" t="s">
        <v>4731</v>
      </c>
      <c r="B454" s="5" t="s">
        <v>4732</v>
      </c>
      <c r="C454" s="6" t="s">
        <v>4733</v>
      </c>
      <c r="D454" s="7" t="s">
        <v>4734</v>
      </c>
      <c r="E454" s="8" t="s">
        <v>508</v>
      </c>
      <c r="F454" s="9" t="s">
        <v>4735</v>
      </c>
      <c r="G454" s="10" t="s">
        <v>36</v>
      </c>
      <c r="H454" s="11">
        <v>1</v>
      </c>
      <c r="I454" s="12" t="s">
        <v>36</v>
      </c>
      <c r="J454" s="13" t="s">
        <v>4736</v>
      </c>
      <c r="K454" s="14" t="s">
        <v>4737</v>
      </c>
      <c r="L454" s="15" t="s">
        <v>183</v>
      </c>
      <c r="M454" s="16" t="s">
        <v>4738</v>
      </c>
      <c r="N454" s="17" t="s">
        <v>36</v>
      </c>
      <c r="O454" s="18" t="s">
        <v>186</v>
      </c>
      <c r="P454" s="19" t="s">
        <v>50</v>
      </c>
      <c r="Q454" s="20" t="s">
        <v>36</v>
      </c>
      <c r="R454" s="21" t="s">
        <v>35</v>
      </c>
      <c r="S454" s="22" t="s">
        <v>36</v>
      </c>
      <c r="T454" s="23" t="s">
        <v>4739</v>
      </c>
      <c r="U454" s="44" t="str">
        <f>HYPERLINK("https://my.pitchbook.com?p=207453-97P", "View people online")</f>
        <v>View people online</v>
      </c>
    </row>
    <row r="455" spans="1:21" x14ac:dyDescent="0.3">
      <c r="A455" s="24" t="s">
        <v>4740</v>
      </c>
      <c r="B455" s="25" t="s">
        <v>4741</v>
      </c>
      <c r="C455" s="26" t="s">
        <v>4742</v>
      </c>
      <c r="D455" s="27" t="s">
        <v>4743</v>
      </c>
      <c r="E455" s="28" t="s">
        <v>4744</v>
      </c>
      <c r="F455" s="29" t="s">
        <v>4745</v>
      </c>
      <c r="G455" s="30" t="s">
        <v>36</v>
      </c>
      <c r="H455" s="31">
        <v>1</v>
      </c>
      <c r="I455" s="32" t="s">
        <v>36</v>
      </c>
      <c r="J455" s="33" t="s">
        <v>36</v>
      </c>
      <c r="K455" s="34" t="s">
        <v>4746</v>
      </c>
      <c r="L455" s="35" t="s">
        <v>4747</v>
      </c>
      <c r="M455" s="36" t="s">
        <v>4748</v>
      </c>
      <c r="N455" s="37" t="s">
        <v>4749</v>
      </c>
      <c r="O455" s="38" t="s">
        <v>4750</v>
      </c>
      <c r="P455" s="39" t="s">
        <v>36</v>
      </c>
      <c r="Q455" s="40" t="s">
        <v>4751</v>
      </c>
      <c r="R455" s="41" t="s">
        <v>4752</v>
      </c>
      <c r="S455" s="42" t="s">
        <v>36</v>
      </c>
      <c r="T455" s="43" t="s">
        <v>4753</v>
      </c>
      <c r="U455" s="45" t="str">
        <f>HYPERLINK("https://my.pitchbook.com?p=179818-21P", "View people online")</f>
        <v>View people online</v>
      </c>
    </row>
    <row r="456" spans="1:21" x14ac:dyDescent="0.3">
      <c r="A456" s="4" t="s">
        <v>4754</v>
      </c>
      <c r="B456" s="5" t="s">
        <v>4755</v>
      </c>
      <c r="C456" s="6" t="s">
        <v>4756</v>
      </c>
      <c r="D456" s="7" t="s">
        <v>4757</v>
      </c>
      <c r="E456" s="8" t="s">
        <v>128</v>
      </c>
      <c r="F456" s="9" t="s">
        <v>4758</v>
      </c>
      <c r="G456" s="10" t="s">
        <v>36</v>
      </c>
      <c r="H456" s="11">
        <v>1</v>
      </c>
      <c r="I456" s="12" t="s">
        <v>36</v>
      </c>
      <c r="J456" s="13" t="s">
        <v>4759</v>
      </c>
      <c r="K456" s="14" t="s">
        <v>36</v>
      </c>
      <c r="L456" s="15" t="s">
        <v>117</v>
      </c>
      <c r="M456" s="16" t="s">
        <v>4760</v>
      </c>
      <c r="N456" s="17" t="s">
        <v>4761</v>
      </c>
      <c r="O456" s="18" t="s">
        <v>120</v>
      </c>
      <c r="P456" s="19" t="s">
        <v>36</v>
      </c>
      <c r="Q456" s="20" t="s">
        <v>4762</v>
      </c>
      <c r="R456" s="21" t="s">
        <v>122</v>
      </c>
      <c r="S456" s="22" t="s">
        <v>36</v>
      </c>
      <c r="T456" s="23" t="s">
        <v>4763</v>
      </c>
      <c r="U456" s="44" t="str">
        <f>HYPERLINK("https://my.pitchbook.com?p=123704-02P", "View people online")</f>
        <v>View people online</v>
      </c>
    </row>
    <row r="457" spans="1:21" x14ac:dyDescent="0.3">
      <c r="A457" s="24" t="s">
        <v>4764</v>
      </c>
      <c r="B457" s="25" t="s">
        <v>4765</v>
      </c>
      <c r="C457" s="26" t="s">
        <v>4766</v>
      </c>
      <c r="D457" s="27" t="s">
        <v>4767</v>
      </c>
      <c r="E457" s="28" t="s">
        <v>179</v>
      </c>
      <c r="F457" s="29" t="s">
        <v>4768</v>
      </c>
      <c r="G457" s="30" t="s">
        <v>36</v>
      </c>
      <c r="H457" s="31">
        <v>1</v>
      </c>
      <c r="I457" s="32" t="s">
        <v>36</v>
      </c>
      <c r="J457" s="33" t="s">
        <v>4769</v>
      </c>
      <c r="K457" s="34" t="s">
        <v>4770</v>
      </c>
      <c r="L457" s="35" t="s">
        <v>384</v>
      </c>
      <c r="M457" s="36" t="s">
        <v>4771</v>
      </c>
      <c r="N457" s="37" t="s">
        <v>36</v>
      </c>
      <c r="O457" s="38" t="s">
        <v>386</v>
      </c>
      <c r="P457" s="39" t="s">
        <v>36</v>
      </c>
      <c r="Q457" s="40" t="s">
        <v>4772</v>
      </c>
      <c r="R457" s="41" t="s">
        <v>388</v>
      </c>
      <c r="S457" s="42" t="s">
        <v>36</v>
      </c>
      <c r="T457" s="43" t="s">
        <v>4773</v>
      </c>
      <c r="U457" s="45" t="str">
        <f>HYPERLINK("https://my.pitchbook.com?p=86364-28P", "View people online")</f>
        <v>View people online</v>
      </c>
    </row>
    <row r="458" spans="1:21" x14ac:dyDescent="0.3">
      <c r="A458" s="4" t="s">
        <v>4774</v>
      </c>
      <c r="B458" s="5" t="s">
        <v>4775</v>
      </c>
      <c r="C458" s="6" t="s">
        <v>4776</v>
      </c>
      <c r="D458" s="7" t="s">
        <v>467</v>
      </c>
      <c r="E458" s="8" t="s">
        <v>4777</v>
      </c>
      <c r="F458" s="9" t="s">
        <v>4778</v>
      </c>
      <c r="G458" s="10" t="s">
        <v>36</v>
      </c>
      <c r="H458" s="11">
        <v>1</v>
      </c>
      <c r="I458" s="12" t="s">
        <v>36</v>
      </c>
      <c r="J458" s="13" t="s">
        <v>4779</v>
      </c>
      <c r="K458" s="14" t="s">
        <v>36</v>
      </c>
      <c r="L458" s="15" t="s">
        <v>4780</v>
      </c>
      <c r="M458" s="16" t="s">
        <v>4781</v>
      </c>
      <c r="N458" s="17" t="s">
        <v>4782</v>
      </c>
      <c r="O458" s="18" t="s">
        <v>3113</v>
      </c>
      <c r="P458" s="19" t="s">
        <v>50</v>
      </c>
      <c r="Q458" s="20" t="s">
        <v>4783</v>
      </c>
      <c r="R458" s="21" t="s">
        <v>35</v>
      </c>
      <c r="S458" s="22" t="s">
        <v>36</v>
      </c>
      <c r="T458" s="23" t="s">
        <v>4784</v>
      </c>
      <c r="U458" s="44" t="str">
        <f>HYPERLINK("https://my.pitchbook.com?p=218286-64P", "View people online")</f>
        <v>View people online</v>
      </c>
    </row>
    <row r="459" spans="1:21" x14ac:dyDescent="0.3">
      <c r="A459" s="24" t="s">
        <v>4785</v>
      </c>
      <c r="B459" s="25" t="s">
        <v>4786</v>
      </c>
      <c r="C459" s="26" t="s">
        <v>4787</v>
      </c>
      <c r="D459" s="27" t="s">
        <v>467</v>
      </c>
      <c r="E459" s="28" t="s">
        <v>4788</v>
      </c>
      <c r="F459" s="29" t="s">
        <v>4789</v>
      </c>
      <c r="G459" s="30" t="s">
        <v>36</v>
      </c>
      <c r="H459" s="31">
        <v>1</v>
      </c>
      <c r="I459" s="32" t="s">
        <v>36</v>
      </c>
      <c r="J459" s="33" t="s">
        <v>36</v>
      </c>
      <c r="K459" s="34" t="s">
        <v>4790</v>
      </c>
      <c r="L459" s="35" t="s">
        <v>4791</v>
      </c>
      <c r="M459" s="36" t="s">
        <v>4792</v>
      </c>
      <c r="N459" s="37" t="s">
        <v>36</v>
      </c>
      <c r="O459" s="38" t="s">
        <v>4793</v>
      </c>
      <c r="P459" s="39" t="s">
        <v>50</v>
      </c>
      <c r="Q459" s="40" t="s">
        <v>4794</v>
      </c>
      <c r="R459" s="41" t="s">
        <v>35</v>
      </c>
      <c r="S459" s="42" t="s">
        <v>36</v>
      </c>
      <c r="T459" s="43" t="s">
        <v>4795</v>
      </c>
      <c r="U459" s="45" t="str">
        <f>HYPERLINK("https://my.pitchbook.com?p=226770-85P", "View people online")</f>
        <v>View people online</v>
      </c>
    </row>
    <row r="460" spans="1:21" x14ac:dyDescent="0.3">
      <c r="A460" s="4" t="s">
        <v>4796</v>
      </c>
      <c r="B460" s="5" t="s">
        <v>4797</v>
      </c>
      <c r="C460" s="6" t="s">
        <v>4798</v>
      </c>
      <c r="D460" s="7" t="s">
        <v>4799</v>
      </c>
      <c r="E460" s="8" t="s">
        <v>179</v>
      </c>
      <c r="F460" s="9" t="s">
        <v>4800</v>
      </c>
      <c r="G460" s="10" t="s">
        <v>36</v>
      </c>
      <c r="H460" s="11">
        <v>1</v>
      </c>
      <c r="I460" s="12" t="s">
        <v>36</v>
      </c>
      <c r="J460" s="13" t="s">
        <v>4801</v>
      </c>
      <c r="K460" s="14" t="s">
        <v>4802</v>
      </c>
      <c r="L460" s="15" t="s">
        <v>4803</v>
      </c>
      <c r="M460" s="16" t="s">
        <v>4804</v>
      </c>
      <c r="N460" s="17" t="s">
        <v>36</v>
      </c>
      <c r="O460" s="18" t="s">
        <v>4805</v>
      </c>
      <c r="P460" s="19" t="s">
        <v>36</v>
      </c>
      <c r="Q460" s="20" t="s">
        <v>4806</v>
      </c>
      <c r="R460" s="21" t="s">
        <v>4807</v>
      </c>
      <c r="S460" s="22" t="s">
        <v>36</v>
      </c>
      <c r="T460" s="23" t="s">
        <v>4808</v>
      </c>
      <c r="U460" s="44" t="str">
        <f>HYPERLINK("https://my.pitchbook.com?p=130954-87P", "View people online")</f>
        <v>View people online</v>
      </c>
    </row>
    <row r="461" spans="1:21" x14ac:dyDescent="0.3">
      <c r="A461" s="24" t="s">
        <v>4809</v>
      </c>
      <c r="B461" s="25" t="s">
        <v>4810</v>
      </c>
      <c r="C461" s="26" t="s">
        <v>1130</v>
      </c>
      <c r="D461" s="27" t="s">
        <v>4811</v>
      </c>
      <c r="E461" s="28" t="s">
        <v>4812</v>
      </c>
      <c r="F461" s="29" t="s">
        <v>4813</v>
      </c>
      <c r="G461" s="30" t="s">
        <v>36</v>
      </c>
      <c r="H461" s="31">
        <v>1</v>
      </c>
      <c r="I461" s="32" t="s">
        <v>36</v>
      </c>
      <c r="J461" s="33" t="s">
        <v>4814</v>
      </c>
      <c r="K461" s="34" t="s">
        <v>4815</v>
      </c>
      <c r="L461" s="35" t="s">
        <v>1404</v>
      </c>
      <c r="M461" s="36" t="s">
        <v>4816</v>
      </c>
      <c r="N461" s="37" t="s">
        <v>36</v>
      </c>
      <c r="O461" s="38" t="s">
        <v>1407</v>
      </c>
      <c r="P461" s="39" t="s">
        <v>50</v>
      </c>
      <c r="Q461" s="40" t="s">
        <v>1562</v>
      </c>
      <c r="R461" s="41" t="s">
        <v>35</v>
      </c>
      <c r="S461" s="42" t="s">
        <v>36</v>
      </c>
      <c r="T461" s="43" t="s">
        <v>4817</v>
      </c>
      <c r="U461" s="45" t="str">
        <f>HYPERLINK("https://my.pitchbook.com?p=100342-18P", "View people online")</f>
        <v>View people online</v>
      </c>
    </row>
    <row r="462" spans="1:21" x14ac:dyDescent="0.3">
      <c r="A462" s="4" t="s">
        <v>4818</v>
      </c>
      <c r="B462" s="5" t="s">
        <v>4819</v>
      </c>
      <c r="C462" s="6" t="s">
        <v>4820</v>
      </c>
      <c r="D462" s="7" t="s">
        <v>4821</v>
      </c>
      <c r="E462" s="8" t="s">
        <v>3479</v>
      </c>
      <c r="F462" s="9" t="s">
        <v>4822</v>
      </c>
      <c r="G462" s="10" t="s">
        <v>36</v>
      </c>
      <c r="H462" s="11">
        <v>1</v>
      </c>
      <c r="I462" s="12" t="s">
        <v>36</v>
      </c>
      <c r="J462" s="13" t="s">
        <v>36</v>
      </c>
      <c r="K462" s="14" t="s">
        <v>4823</v>
      </c>
      <c r="L462" s="15" t="s">
        <v>183</v>
      </c>
      <c r="M462" s="16" t="s">
        <v>4824</v>
      </c>
      <c r="N462" s="17" t="s">
        <v>36</v>
      </c>
      <c r="O462" s="18" t="s">
        <v>186</v>
      </c>
      <c r="P462" s="19" t="s">
        <v>50</v>
      </c>
      <c r="Q462" s="20" t="s">
        <v>4825</v>
      </c>
      <c r="R462" s="21" t="s">
        <v>35</v>
      </c>
      <c r="S462" s="22" t="s">
        <v>36</v>
      </c>
      <c r="T462" s="23" t="s">
        <v>4826</v>
      </c>
      <c r="U462" s="44" t="str">
        <f>HYPERLINK("https://my.pitchbook.com?p=137119-51P", "View people online")</f>
        <v>View people online</v>
      </c>
    </row>
    <row r="463" spans="1:21" x14ac:dyDescent="0.3">
      <c r="A463" s="24" t="s">
        <v>4827</v>
      </c>
      <c r="B463" s="25" t="s">
        <v>4828</v>
      </c>
      <c r="C463" s="26" t="s">
        <v>4829</v>
      </c>
      <c r="D463" s="27" t="s">
        <v>4830</v>
      </c>
      <c r="E463" s="28" t="s">
        <v>4831</v>
      </c>
      <c r="F463" s="29" t="s">
        <v>4832</v>
      </c>
      <c r="G463" s="30" t="s">
        <v>36</v>
      </c>
      <c r="H463" s="31">
        <v>1</v>
      </c>
      <c r="I463" s="32" t="s">
        <v>36</v>
      </c>
      <c r="J463" s="33" t="s">
        <v>4833</v>
      </c>
      <c r="K463" s="34" t="s">
        <v>4834</v>
      </c>
      <c r="L463" s="35" t="s">
        <v>1871</v>
      </c>
      <c r="M463" s="36" t="s">
        <v>4835</v>
      </c>
      <c r="N463" s="37" t="s">
        <v>4836</v>
      </c>
      <c r="O463" s="38" t="s">
        <v>1873</v>
      </c>
      <c r="P463" s="39" t="s">
        <v>50</v>
      </c>
      <c r="Q463" s="40" t="s">
        <v>1874</v>
      </c>
      <c r="R463" s="41" t="s">
        <v>35</v>
      </c>
      <c r="S463" s="42" t="s">
        <v>36</v>
      </c>
      <c r="T463" s="43" t="s">
        <v>4837</v>
      </c>
      <c r="U463" s="45" t="str">
        <f>HYPERLINK("https://my.pitchbook.com?p=38343-61P", "View people online")</f>
        <v>View people online</v>
      </c>
    </row>
    <row r="464" spans="1:21" x14ac:dyDescent="0.3">
      <c r="A464" s="4" t="s">
        <v>4838</v>
      </c>
      <c r="B464" s="5" t="s">
        <v>4839</v>
      </c>
      <c r="C464" s="6" t="s">
        <v>4840</v>
      </c>
      <c r="D464" s="7" t="s">
        <v>4830</v>
      </c>
      <c r="E464" s="8" t="s">
        <v>4841</v>
      </c>
      <c r="F464" s="9" t="s">
        <v>4842</v>
      </c>
      <c r="G464" s="10">
        <v>1</v>
      </c>
      <c r="H464" s="11">
        <v>1</v>
      </c>
      <c r="I464" s="12" t="s">
        <v>36</v>
      </c>
      <c r="J464" s="13" t="s">
        <v>4843</v>
      </c>
      <c r="K464" s="14" t="s">
        <v>4844</v>
      </c>
      <c r="L464" s="15" t="s">
        <v>1112</v>
      </c>
      <c r="M464" s="16" t="s">
        <v>4845</v>
      </c>
      <c r="N464" s="17" t="s">
        <v>4846</v>
      </c>
      <c r="O464" s="18" t="s">
        <v>1114</v>
      </c>
      <c r="P464" s="19" t="s">
        <v>1115</v>
      </c>
      <c r="Q464" s="20" t="s">
        <v>4847</v>
      </c>
      <c r="R464" s="21" t="s">
        <v>35</v>
      </c>
      <c r="S464" s="22" t="s">
        <v>36</v>
      </c>
      <c r="T464" s="23" t="s">
        <v>4848</v>
      </c>
      <c r="U464" s="44" t="str">
        <f>HYPERLINK("https://my.pitchbook.com?p=49439-62P", "View people online")</f>
        <v>View people online</v>
      </c>
    </row>
    <row r="465" spans="1:21" x14ac:dyDescent="0.3">
      <c r="A465" s="24" t="s">
        <v>4849</v>
      </c>
      <c r="B465" s="25" t="s">
        <v>4850</v>
      </c>
      <c r="C465" s="26" t="s">
        <v>4851</v>
      </c>
      <c r="D465" s="27" t="s">
        <v>4852</v>
      </c>
      <c r="E465" s="28" t="s">
        <v>449</v>
      </c>
      <c r="F465" s="29" t="s">
        <v>4853</v>
      </c>
      <c r="G465" s="30">
        <v>1</v>
      </c>
      <c r="H465" s="31">
        <v>1</v>
      </c>
      <c r="I465" s="32" t="s">
        <v>36</v>
      </c>
      <c r="J465" s="33" t="s">
        <v>4854</v>
      </c>
      <c r="K465" s="34" t="s">
        <v>4855</v>
      </c>
      <c r="L465" s="35" t="s">
        <v>4856</v>
      </c>
      <c r="M465" s="36" t="s">
        <v>4857</v>
      </c>
      <c r="N465" s="37" t="s">
        <v>36</v>
      </c>
      <c r="O465" s="38" t="s">
        <v>4858</v>
      </c>
      <c r="P465" s="39" t="s">
        <v>36</v>
      </c>
      <c r="Q465" s="40" t="s">
        <v>4859</v>
      </c>
      <c r="R465" s="41" t="s">
        <v>2503</v>
      </c>
      <c r="S465" s="42" t="s">
        <v>4860</v>
      </c>
      <c r="T465" s="43" t="s">
        <v>4861</v>
      </c>
      <c r="U465" s="45" t="str">
        <f>HYPERLINK("https://my.pitchbook.com?p=51202-00P", "View people online")</f>
        <v>View people online</v>
      </c>
    </row>
    <row r="466" spans="1:21" x14ac:dyDescent="0.3">
      <c r="A466" s="4" t="s">
        <v>4862</v>
      </c>
      <c r="B466" s="5" t="s">
        <v>4863</v>
      </c>
      <c r="C466" s="6" t="s">
        <v>4864</v>
      </c>
      <c r="D466" s="7" t="s">
        <v>536</v>
      </c>
      <c r="E466" s="8" t="s">
        <v>86</v>
      </c>
      <c r="F466" s="9" t="s">
        <v>4865</v>
      </c>
      <c r="G466" s="10" t="s">
        <v>36</v>
      </c>
      <c r="H466" s="11">
        <v>1</v>
      </c>
      <c r="I466" s="12" t="s">
        <v>36</v>
      </c>
      <c r="J466" s="13" t="s">
        <v>4866</v>
      </c>
      <c r="K466" s="14" t="s">
        <v>4867</v>
      </c>
      <c r="L466" s="15" t="s">
        <v>183</v>
      </c>
      <c r="M466" s="16" t="s">
        <v>4868</v>
      </c>
      <c r="N466" s="17" t="s">
        <v>36</v>
      </c>
      <c r="O466" s="18" t="s">
        <v>186</v>
      </c>
      <c r="P466" s="19" t="s">
        <v>50</v>
      </c>
      <c r="Q466" s="20" t="s">
        <v>3885</v>
      </c>
      <c r="R466" s="21" t="s">
        <v>35</v>
      </c>
      <c r="S466" s="22" t="s">
        <v>36</v>
      </c>
      <c r="T466" s="23" t="s">
        <v>4869</v>
      </c>
      <c r="U466" s="44" t="str">
        <f>HYPERLINK("https://my.pitchbook.com?p=91138-51P", "View people online")</f>
        <v>View people online</v>
      </c>
    </row>
    <row r="467" spans="1:21" x14ac:dyDescent="0.3">
      <c r="A467" s="24" t="s">
        <v>4870</v>
      </c>
      <c r="B467" s="25" t="s">
        <v>4871</v>
      </c>
      <c r="C467" s="26" t="s">
        <v>4872</v>
      </c>
      <c r="D467" s="27" t="s">
        <v>536</v>
      </c>
      <c r="E467" s="28" t="s">
        <v>179</v>
      </c>
      <c r="F467" s="29" t="s">
        <v>4873</v>
      </c>
      <c r="G467" s="30" t="s">
        <v>36</v>
      </c>
      <c r="H467" s="31">
        <v>1</v>
      </c>
      <c r="I467" s="32" t="s">
        <v>36</v>
      </c>
      <c r="J467" s="33" t="s">
        <v>36</v>
      </c>
      <c r="K467" s="34" t="s">
        <v>4874</v>
      </c>
      <c r="L467" s="35" t="s">
        <v>1479</v>
      </c>
      <c r="M467" s="36" t="s">
        <v>4875</v>
      </c>
      <c r="N467" s="37" t="s">
        <v>4876</v>
      </c>
      <c r="O467" s="38" t="s">
        <v>1481</v>
      </c>
      <c r="P467" s="39" t="s">
        <v>50</v>
      </c>
      <c r="Q467" s="40" t="s">
        <v>1482</v>
      </c>
      <c r="R467" s="41" t="s">
        <v>35</v>
      </c>
      <c r="S467" s="42" t="s">
        <v>36</v>
      </c>
      <c r="T467" s="43" t="s">
        <v>4877</v>
      </c>
      <c r="U467" s="45" t="str">
        <f>HYPERLINK("https://my.pitchbook.com?p=54286-57P", "View people online")</f>
        <v>View people online</v>
      </c>
    </row>
    <row r="468" spans="1:21" x14ac:dyDescent="0.3">
      <c r="A468" s="4" t="s">
        <v>4878</v>
      </c>
      <c r="B468" s="5" t="s">
        <v>4879</v>
      </c>
      <c r="C468" s="6" t="s">
        <v>4880</v>
      </c>
      <c r="D468" s="7" t="s">
        <v>4881</v>
      </c>
      <c r="E468" s="8" t="s">
        <v>4882</v>
      </c>
      <c r="F468" s="9" t="s">
        <v>4883</v>
      </c>
      <c r="G468" s="10" t="s">
        <v>36</v>
      </c>
      <c r="H468" s="11">
        <v>1</v>
      </c>
      <c r="I468" s="12" t="s">
        <v>36</v>
      </c>
      <c r="J468" s="13" t="s">
        <v>4884</v>
      </c>
      <c r="K468" s="14" t="s">
        <v>36</v>
      </c>
      <c r="L468" s="15" t="s">
        <v>477</v>
      </c>
      <c r="M468" s="16" t="s">
        <v>4885</v>
      </c>
      <c r="N468" s="17" t="s">
        <v>36</v>
      </c>
      <c r="O468" s="18" t="s">
        <v>479</v>
      </c>
      <c r="P468" s="19" t="s">
        <v>50</v>
      </c>
      <c r="Q468" s="20" t="s">
        <v>1746</v>
      </c>
      <c r="R468" s="21" t="s">
        <v>35</v>
      </c>
      <c r="S468" s="22" t="s">
        <v>4886</v>
      </c>
      <c r="T468" s="23" t="s">
        <v>4887</v>
      </c>
      <c r="U468" s="44" t="str">
        <f>HYPERLINK("https://my.pitchbook.com?p=68927-23P", "View people online")</f>
        <v>View people online</v>
      </c>
    </row>
    <row r="469" spans="1:21" x14ac:dyDescent="0.3">
      <c r="A469" s="24" t="s">
        <v>4888</v>
      </c>
      <c r="B469" s="25" t="s">
        <v>4889</v>
      </c>
      <c r="C469" s="26" t="s">
        <v>4890</v>
      </c>
      <c r="D469" s="27" t="s">
        <v>2121</v>
      </c>
      <c r="E469" s="28" t="s">
        <v>1912</v>
      </c>
      <c r="F469" s="29" t="s">
        <v>4891</v>
      </c>
      <c r="G469" s="30" t="s">
        <v>36</v>
      </c>
      <c r="H469" s="31">
        <v>1</v>
      </c>
      <c r="I469" s="32" t="s">
        <v>36</v>
      </c>
      <c r="J469" s="33" t="s">
        <v>36</v>
      </c>
      <c r="K469" s="34" t="s">
        <v>4892</v>
      </c>
      <c r="L469" s="35" t="s">
        <v>4893</v>
      </c>
      <c r="M469" s="36" t="s">
        <v>36</v>
      </c>
      <c r="N469" s="37" t="s">
        <v>36</v>
      </c>
      <c r="O469" s="38" t="s">
        <v>4894</v>
      </c>
      <c r="P469" s="39" t="s">
        <v>4895</v>
      </c>
      <c r="Q469" s="40" t="s">
        <v>36</v>
      </c>
      <c r="R469" s="41" t="s">
        <v>35</v>
      </c>
      <c r="S469" s="42" t="s">
        <v>36</v>
      </c>
      <c r="T469" s="43" t="s">
        <v>4896</v>
      </c>
      <c r="U469" s="45" t="str">
        <f>HYPERLINK("https://my.pitchbook.com?p=80529-94P", "View people online")</f>
        <v>View people online</v>
      </c>
    </row>
    <row r="470" spans="1:21" x14ac:dyDescent="0.3">
      <c r="A470" s="4" t="s">
        <v>4897</v>
      </c>
      <c r="B470" s="5" t="s">
        <v>4898</v>
      </c>
      <c r="C470" s="6" t="s">
        <v>4899</v>
      </c>
      <c r="D470" s="7" t="s">
        <v>2121</v>
      </c>
      <c r="E470" s="8" t="s">
        <v>4900</v>
      </c>
      <c r="F470" s="9" t="s">
        <v>4901</v>
      </c>
      <c r="G470" s="10" t="s">
        <v>36</v>
      </c>
      <c r="H470" s="11">
        <v>1</v>
      </c>
      <c r="I470" s="12" t="s">
        <v>36</v>
      </c>
      <c r="J470" s="13" t="s">
        <v>4902</v>
      </c>
      <c r="K470" s="14" t="s">
        <v>4903</v>
      </c>
      <c r="L470" s="15" t="s">
        <v>183</v>
      </c>
      <c r="M470" s="16" t="s">
        <v>4904</v>
      </c>
      <c r="N470" s="17" t="s">
        <v>4905</v>
      </c>
      <c r="O470" s="18" t="s">
        <v>186</v>
      </c>
      <c r="P470" s="19" t="s">
        <v>50</v>
      </c>
      <c r="Q470" s="20" t="s">
        <v>266</v>
      </c>
      <c r="R470" s="21" t="s">
        <v>35</v>
      </c>
      <c r="S470" s="22" t="s">
        <v>36</v>
      </c>
      <c r="T470" s="23" t="s">
        <v>4906</v>
      </c>
      <c r="U470" s="44" t="str">
        <f>HYPERLINK("https://my.pitchbook.com?p=156185-47P", "View people online")</f>
        <v>View people online</v>
      </c>
    </row>
    <row r="471" spans="1:21" x14ac:dyDescent="0.3">
      <c r="A471" s="24" t="s">
        <v>4907</v>
      </c>
      <c r="B471" s="25" t="s">
        <v>4908</v>
      </c>
      <c r="C471" s="26" t="s">
        <v>4909</v>
      </c>
      <c r="D471" s="27" t="s">
        <v>2121</v>
      </c>
      <c r="E471" s="28" t="s">
        <v>3021</v>
      </c>
      <c r="F471" s="29" t="s">
        <v>4910</v>
      </c>
      <c r="G471" s="30" t="s">
        <v>36</v>
      </c>
      <c r="H471" s="31">
        <v>1</v>
      </c>
      <c r="I471" s="32" t="s">
        <v>36</v>
      </c>
      <c r="J471" s="33" t="s">
        <v>4911</v>
      </c>
      <c r="K471" s="34" t="s">
        <v>4912</v>
      </c>
      <c r="L471" s="35" t="s">
        <v>183</v>
      </c>
      <c r="M471" s="36" t="s">
        <v>4913</v>
      </c>
      <c r="N471" s="37" t="s">
        <v>2229</v>
      </c>
      <c r="O471" s="38" t="s">
        <v>186</v>
      </c>
      <c r="P471" s="39" t="s">
        <v>50</v>
      </c>
      <c r="Q471" s="40" t="s">
        <v>718</v>
      </c>
      <c r="R471" s="41" t="s">
        <v>35</v>
      </c>
      <c r="S471" s="42" t="s">
        <v>36</v>
      </c>
      <c r="T471" s="43" t="s">
        <v>4914</v>
      </c>
      <c r="U471" s="45" t="str">
        <f>HYPERLINK("https://my.pitchbook.com?p=119978-92P", "View people online")</f>
        <v>View people online</v>
      </c>
    </row>
    <row r="472" spans="1:21" x14ac:dyDescent="0.3">
      <c r="A472" s="4" t="s">
        <v>4915</v>
      </c>
      <c r="B472" s="5" t="s">
        <v>4916</v>
      </c>
      <c r="C472" s="6" t="s">
        <v>4917</v>
      </c>
      <c r="D472" s="7" t="s">
        <v>4918</v>
      </c>
      <c r="E472" s="8" t="s">
        <v>508</v>
      </c>
      <c r="F472" s="9" t="s">
        <v>4919</v>
      </c>
      <c r="G472" s="10" t="s">
        <v>36</v>
      </c>
      <c r="H472" s="11">
        <v>1</v>
      </c>
      <c r="I472" s="12" t="s">
        <v>36</v>
      </c>
      <c r="J472" s="13" t="s">
        <v>4920</v>
      </c>
      <c r="K472" s="14" t="s">
        <v>4921</v>
      </c>
      <c r="L472" s="15" t="s">
        <v>4780</v>
      </c>
      <c r="M472" s="16" t="s">
        <v>4922</v>
      </c>
      <c r="N472" s="17" t="s">
        <v>4923</v>
      </c>
      <c r="O472" s="18" t="s">
        <v>3113</v>
      </c>
      <c r="P472" s="19" t="s">
        <v>50</v>
      </c>
      <c r="Q472" s="20" t="s">
        <v>4924</v>
      </c>
      <c r="R472" s="21" t="s">
        <v>35</v>
      </c>
      <c r="S472" s="22" t="s">
        <v>36</v>
      </c>
      <c r="T472" s="23" t="s">
        <v>4925</v>
      </c>
      <c r="U472" s="44" t="str">
        <f>HYPERLINK("https://my.pitchbook.com?p=216124-03P", "View people online")</f>
        <v>View people online</v>
      </c>
    </row>
    <row r="473" spans="1:21" x14ac:dyDescent="0.3">
      <c r="A473" s="24" t="s">
        <v>4926</v>
      </c>
      <c r="B473" s="25" t="s">
        <v>4927</v>
      </c>
      <c r="C473" s="26" t="s">
        <v>4928</v>
      </c>
      <c r="D473" s="27" t="s">
        <v>4929</v>
      </c>
      <c r="E473" s="28" t="s">
        <v>438</v>
      </c>
      <c r="F473" s="29" t="s">
        <v>4930</v>
      </c>
      <c r="G473" s="30">
        <v>1</v>
      </c>
      <c r="H473" s="31">
        <v>1</v>
      </c>
      <c r="I473" s="32" t="s">
        <v>36</v>
      </c>
      <c r="J473" s="33" t="s">
        <v>4931</v>
      </c>
      <c r="K473" s="34" t="s">
        <v>4932</v>
      </c>
      <c r="L473" s="35" t="s">
        <v>157</v>
      </c>
      <c r="M473" s="36" t="s">
        <v>4933</v>
      </c>
      <c r="N473" s="37" t="s">
        <v>36</v>
      </c>
      <c r="O473" s="38" t="s">
        <v>159</v>
      </c>
      <c r="P473" s="39" t="s">
        <v>50</v>
      </c>
      <c r="Q473" s="40" t="s">
        <v>4934</v>
      </c>
      <c r="R473" s="41" t="s">
        <v>35</v>
      </c>
      <c r="S473" s="42" t="s">
        <v>36</v>
      </c>
      <c r="T473" s="43" t="s">
        <v>4935</v>
      </c>
      <c r="U473" s="45" t="str">
        <f>HYPERLINK("https://my.pitchbook.com?p=67662-91P", "View people online")</f>
        <v>View people online</v>
      </c>
    </row>
    <row r="474" spans="1:21" x14ac:dyDescent="0.3">
      <c r="A474" s="4" t="s">
        <v>4936</v>
      </c>
      <c r="B474" s="5" t="s">
        <v>4937</v>
      </c>
      <c r="C474" s="6" t="s">
        <v>4938</v>
      </c>
      <c r="D474" s="7" t="s">
        <v>4939</v>
      </c>
      <c r="E474" s="8" t="s">
        <v>3398</v>
      </c>
      <c r="F474" s="9" t="s">
        <v>4940</v>
      </c>
      <c r="G474" s="10" t="s">
        <v>36</v>
      </c>
      <c r="H474" s="11">
        <v>1</v>
      </c>
      <c r="I474" s="12" t="s">
        <v>36</v>
      </c>
      <c r="J474" s="13" t="s">
        <v>4941</v>
      </c>
      <c r="K474" s="14" t="s">
        <v>4942</v>
      </c>
      <c r="L474" s="15" t="s">
        <v>818</v>
      </c>
      <c r="M474" s="16" t="s">
        <v>4943</v>
      </c>
      <c r="N474" s="17" t="s">
        <v>466</v>
      </c>
      <c r="O474" s="18" t="s">
        <v>821</v>
      </c>
      <c r="P474" s="19" t="s">
        <v>50</v>
      </c>
      <c r="Q474" s="20" t="s">
        <v>4362</v>
      </c>
      <c r="R474" s="21" t="s">
        <v>35</v>
      </c>
      <c r="S474" s="22" t="s">
        <v>36</v>
      </c>
      <c r="T474" s="23" t="s">
        <v>4944</v>
      </c>
      <c r="U474" s="44" t="str">
        <f>HYPERLINK("https://my.pitchbook.com?p=247449-34P", "View people online")</f>
        <v>View people online</v>
      </c>
    </row>
    <row r="475" spans="1:21" x14ac:dyDescent="0.3">
      <c r="A475" s="24" t="s">
        <v>4945</v>
      </c>
      <c r="B475" s="25" t="s">
        <v>4946</v>
      </c>
      <c r="C475" s="26" t="s">
        <v>4947</v>
      </c>
      <c r="D475" s="27" t="s">
        <v>4939</v>
      </c>
      <c r="E475" s="28" t="s">
        <v>4948</v>
      </c>
      <c r="F475" s="29" t="s">
        <v>4949</v>
      </c>
      <c r="G475" s="30" t="s">
        <v>36</v>
      </c>
      <c r="H475" s="31">
        <v>1</v>
      </c>
      <c r="I475" s="32" t="s">
        <v>36</v>
      </c>
      <c r="J475" s="33" t="s">
        <v>36</v>
      </c>
      <c r="K475" s="34" t="s">
        <v>4950</v>
      </c>
      <c r="L475" s="35" t="s">
        <v>4951</v>
      </c>
      <c r="M475" s="36" t="s">
        <v>4952</v>
      </c>
      <c r="N475" s="37" t="s">
        <v>36</v>
      </c>
      <c r="O475" s="38" t="s">
        <v>4953</v>
      </c>
      <c r="P475" s="39" t="s">
        <v>50</v>
      </c>
      <c r="Q475" s="40" t="s">
        <v>4954</v>
      </c>
      <c r="R475" s="41" t="s">
        <v>35</v>
      </c>
      <c r="S475" s="42" t="s">
        <v>36</v>
      </c>
      <c r="T475" s="43" t="s">
        <v>4955</v>
      </c>
      <c r="U475" s="45" t="str">
        <f>HYPERLINK("https://my.pitchbook.com?p=35967-34P", "View people online")</f>
        <v>View people online</v>
      </c>
    </row>
    <row r="476" spans="1:21" x14ac:dyDescent="0.3">
      <c r="A476" s="4" t="s">
        <v>4956</v>
      </c>
      <c r="B476" s="5" t="s">
        <v>4957</v>
      </c>
      <c r="C476" s="6" t="s">
        <v>4958</v>
      </c>
      <c r="D476" s="7" t="s">
        <v>4959</v>
      </c>
      <c r="E476" s="8" t="s">
        <v>4960</v>
      </c>
      <c r="F476" s="9" t="s">
        <v>4961</v>
      </c>
      <c r="G476" s="10">
        <v>1</v>
      </c>
      <c r="H476" s="11">
        <v>1</v>
      </c>
      <c r="I476" s="12" t="s">
        <v>36</v>
      </c>
      <c r="J476" s="13" t="s">
        <v>4962</v>
      </c>
      <c r="K476" s="14" t="s">
        <v>4963</v>
      </c>
      <c r="L476" s="15" t="s">
        <v>4964</v>
      </c>
      <c r="M476" s="16" t="s">
        <v>4965</v>
      </c>
      <c r="N476" s="17" t="s">
        <v>4966</v>
      </c>
      <c r="O476" s="18" t="s">
        <v>4967</v>
      </c>
      <c r="P476" s="19" t="s">
        <v>4968</v>
      </c>
      <c r="Q476" s="20" t="s">
        <v>36</v>
      </c>
      <c r="R476" s="21" t="s">
        <v>601</v>
      </c>
      <c r="S476" s="22" t="s">
        <v>4969</v>
      </c>
      <c r="T476" s="23" t="s">
        <v>4970</v>
      </c>
      <c r="U476" s="44" t="str">
        <f>HYPERLINK("https://my.pitchbook.com?p=225984-70P", "View people online")</f>
        <v>View people online</v>
      </c>
    </row>
    <row r="477" spans="1:21" x14ac:dyDescent="0.3">
      <c r="A477" s="24" t="s">
        <v>4971</v>
      </c>
      <c r="B477" s="25" t="s">
        <v>4972</v>
      </c>
      <c r="C477" s="26" t="s">
        <v>4973</v>
      </c>
      <c r="D477" s="27" t="s">
        <v>4974</v>
      </c>
      <c r="E477" s="28" t="s">
        <v>380</v>
      </c>
      <c r="F477" s="29" t="s">
        <v>4975</v>
      </c>
      <c r="G477" s="30">
        <v>1</v>
      </c>
      <c r="H477" s="31">
        <v>1</v>
      </c>
      <c r="I477" s="32" t="s">
        <v>36</v>
      </c>
      <c r="J477" s="33" t="s">
        <v>4976</v>
      </c>
      <c r="K477" s="34" t="s">
        <v>4977</v>
      </c>
      <c r="L477" s="35" t="s">
        <v>4978</v>
      </c>
      <c r="M477" s="36" t="s">
        <v>4979</v>
      </c>
      <c r="N477" s="37" t="s">
        <v>4980</v>
      </c>
      <c r="O477" s="38" t="s">
        <v>4981</v>
      </c>
      <c r="P477" s="39" t="s">
        <v>50</v>
      </c>
      <c r="Q477" s="40" t="s">
        <v>4982</v>
      </c>
      <c r="R477" s="41" t="s">
        <v>35</v>
      </c>
      <c r="S477" s="42" t="s">
        <v>36</v>
      </c>
      <c r="T477" s="43" t="s">
        <v>4983</v>
      </c>
      <c r="U477" s="45" t="str">
        <f>HYPERLINK("https://my.pitchbook.com?p=185369-59P", "View people online")</f>
        <v>View people online</v>
      </c>
    </row>
    <row r="478" spans="1:21" x14ac:dyDescent="0.3">
      <c r="A478" s="4" t="s">
        <v>4984</v>
      </c>
      <c r="B478" s="5" t="s">
        <v>4985</v>
      </c>
      <c r="C478" s="6" t="s">
        <v>4986</v>
      </c>
      <c r="D478" s="7" t="s">
        <v>4987</v>
      </c>
      <c r="E478" s="8" t="s">
        <v>3398</v>
      </c>
      <c r="F478" s="9" t="s">
        <v>4988</v>
      </c>
      <c r="G478" s="10" t="s">
        <v>36</v>
      </c>
      <c r="H478" s="11">
        <v>1</v>
      </c>
      <c r="I478" s="12" t="s">
        <v>36</v>
      </c>
      <c r="J478" s="13" t="s">
        <v>4989</v>
      </c>
      <c r="K478" s="14" t="s">
        <v>4990</v>
      </c>
      <c r="L478" s="15" t="s">
        <v>4991</v>
      </c>
      <c r="M478" s="16" t="s">
        <v>4992</v>
      </c>
      <c r="N478" s="17" t="s">
        <v>36</v>
      </c>
      <c r="O478" s="18" t="s">
        <v>4993</v>
      </c>
      <c r="P478" s="19" t="s">
        <v>50</v>
      </c>
      <c r="Q478" s="20" t="s">
        <v>4994</v>
      </c>
      <c r="R478" s="21" t="s">
        <v>35</v>
      </c>
      <c r="S478" s="22" t="s">
        <v>4995</v>
      </c>
      <c r="T478" s="23" t="s">
        <v>4996</v>
      </c>
      <c r="U478" s="44" t="str">
        <f>HYPERLINK("https://my.pitchbook.com?p=125676-73P", "View people online")</f>
        <v>View people online</v>
      </c>
    </row>
    <row r="479" spans="1:21" x14ac:dyDescent="0.3">
      <c r="A479" s="24" t="s">
        <v>4997</v>
      </c>
      <c r="B479" s="25" t="s">
        <v>4998</v>
      </c>
      <c r="C479" s="26" t="s">
        <v>4999</v>
      </c>
      <c r="D479" s="27" t="s">
        <v>5000</v>
      </c>
      <c r="E479" s="28" t="s">
        <v>86</v>
      </c>
      <c r="F479" s="29" t="s">
        <v>5001</v>
      </c>
      <c r="G479" s="30" t="s">
        <v>36</v>
      </c>
      <c r="H479" s="31">
        <v>1</v>
      </c>
      <c r="I479" s="32" t="s">
        <v>36</v>
      </c>
      <c r="J479" s="33" t="s">
        <v>5002</v>
      </c>
      <c r="K479" s="34" t="s">
        <v>5003</v>
      </c>
      <c r="L479" s="35" t="s">
        <v>5004</v>
      </c>
      <c r="M479" s="36" t="s">
        <v>5005</v>
      </c>
      <c r="N479" s="37" t="s">
        <v>36</v>
      </c>
      <c r="O479" s="38" t="s">
        <v>5006</v>
      </c>
      <c r="P479" s="39" t="s">
        <v>1030</v>
      </c>
      <c r="Q479" s="40" t="s">
        <v>5007</v>
      </c>
      <c r="R479" s="41" t="s">
        <v>35</v>
      </c>
      <c r="S479" s="42" t="s">
        <v>36</v>
      </c>
      <c r="T479" s="43" t="s">
        <v>5008</v>
      </c>
      <c r="U479" s="45" t="str">
        <f>HYPERLINK("https://my.pitchbook.com?p=121913-83P", "View people online")</f>
        <v>View people online</v>
      </c>
    </row>
    <row r="480" spans="1:21" x14ac:dyDescent="0.3">
      <c r="A480" s="4" t="s">
        <v>5009</v>
      </c>
      <c r="B480" s="5" t="s">
        <v>5010</v>
      </c>
      <c r="C480" s="6" t="s">
        <v>5011</v>
      </c>
      <c r="D480" s="7" t="s">
        <v>5012</v>
      </c>
      <c r="E480" s="8" t="s">
        <v>179</v>
      </c>
      <c r="F480" s="9" t="s">
        <v>5013</v>
      </c>
      <c r="G480" s="10" t="s">
        <v>36</v>
      </c>
      <c r="H480" s="11">
        <v>1</v>
      </c>
      <c r="I480" s="12" t="s">
        <v>36</v>
      </c>
      <c r="J480" s="13" t="s">
        <v>5014</v>
      </c>
      <c r="K480" s="14" t="s">
        <v>5015</v>
      </c>
      <c r="L480" s="15" t="s">
        <v>477</v>
      </c>
      <c r="M480" s="16" t="s">
        <v>5016</v>
      </c>
      <c r="N480" s="17" t="s">
        <v>36</v>
      </c>
      <c r="O480" s="18" t="s">
        <v>479</v>
      </c>
      <c r="P480" s="19" t="s">
        <v>50</v>
      </c>
      <c r="Q480" s="20" t="s">
        <v>480</v>
      </c>
      <c r="R480" s="21" t="s">
        <v>35</v>
      </c>
      <c r="S480" s="22" t="s">
        <v>36</v>
      </c>
      <c r="T480" s="23" t="s">
        <v>5017</v>
      </c>
      <c r="U480" s="44" t="str">
        <f>HYPERLINK("https://my.pitchbook.com?p=116809-48P", "View people online")</f>
        <v>View people online</v>
      </c>
    </row>
    <row r="481" spans="1:21" x14ac:dyDescent="0.3">
      <c r="A481" s="24" t="s">
        <v>5018</v>
      </c>
      <c r="B481" s="25" t="s">
        <v>5019</v>
      </c>
      <c r="C481" s="26" t="s">
        <v>5020</v>
      </c>
      <c r="D481" s="27" t="s">
        <v>5021</v>
      </c>
      <c r="E481" s="28" t="s">
        <v>1912</v>
      </c>
      <c r="F481" s="29" t="s">
        <v>5022</v>
      </c>
      <c r="G481" s="30" t="s">
        <v>36</v>
      </c>
      <c r="H481" s="31">
        <v>1</v>
      </c>
      <c r="I481" s="32" t="s">
        <v>36</v>
      </c>
      <c r="J481" s="33" t="s">
        <v>5023</v>
      </c>
      <c r="K481" s="34" t="s">
        <v>5024</v>
      </c>
      <c r="L481" s="35" t="s">
        <v>540</v>
      </c>
      <c r="M481" s="36" t="s">
        <v>5025</v>
      </c>
      <c r="N481" s="37" t="s">
        <v>1903</v>
      </c>
      <c r="O481" s="38" t="s">
        <v>543</v>
      </c>
      <c r="P481" s="39" t="s">
        <v>544</v>
      </c>
      <c r="Q481" s="40" t="s">
        <v>4117</v>
      </c>
      <c r="R481" s="41" t="s">
        <v>35</v>
      </c>
      <c r="S481" s="42" t="s">
        <v>36</v>
      </c>
      <c r="T481" s="43" t="s">
        <v>5026</v>
      </c>
      <c r="U481" s="45" t="str">
        <f>HYPERLINK("https://my.pitchbook.com?p=48765-79P", "View people online")</f>
        <v>View people online</v>
      </c>
    </row>
    <row r="482" spans="1:21" x14ac:dyDescent="0.3">
      <c r="A482" s="4" t="s">
        <v>5027</v>
      </c>
      <c r="B482" s="5" t="s">
        <v>5028</v>
      </c>
      <c r="C482" s="6" t="s">
        <v>5029</v>
      </c>
      <c r="D482" s="7" t="s">
        <v>5030</v>
      </c>
      <c r="E482" s="8" t="s">
        <v>86</v>
      </c>
      <c r="F482" s="9" t="s">
        <v>5031</v>
      </c>
      <c r="G482" s="10" t="s">
        <v>36</v>
      </c>
      <c r="H482" s="11">
        <v>1</v>
      </c>
      <c r="I482" s="12" t="s">
        <v>36</v>
      </c>
      <c r="J482" s="13" t="s">
        <v>36</v>
      </c>
      <c r="K482" s="14" t="s">
        <v>5032</v>
      </c>
      <c r="L482" s="15" t="s">
        <v>183</v>
      </c>
      <c r="M482" s="16" t="s">
        <v>5033</v>
      </c>
      <c r="N482" s="17" t="s">
        <v>5034</v>
      </c>
      <c r="O482" s="18" t="s">
        <v>186</v>
      </c>
      <c r="P482" s="19" t="s">
        <v>50</v>
      </c>
      <c r="Q482" s="20" t="s">
        <v>718</v>
      </c>
      <c r="R482" s="21" t="s">
        <v>35</v>
      </c>
      <c r="S482" s="22" t="s">
        <v>36</v>
      </c>
      <c r="T482" s="23" t="s">
        <v>5035</v>
      </c>
      <c r="U482" s="44" t="str">
        <f>HYPERLINK("https://my.pitchbook.com?p=168250-87P", "View people online")</f>
        <v>View people online</v>
      </c>
    </row>
    <row r="483" spans="1:21" x14ac:dyDescent="0.3">
      <c r="A483" s="24" t="s">
        <v>5036</v>
      </c>
      <c r="B483" s="25" t="s">
        <v>5037</v>
      </c>
      <c r="C483" s="26" t="s">
        <v>2263</v>
      </c>
      <c r="D483" s="27" t="s">
        <v>5038</v>
      </c>
      <c r="E483" s="28" t="s">
        <v>5039</v>
      </c>
      <c r="F483" s="29" t="s">
        <v>5040</v>
      </c>
      <c r="G483" s="30">
        <v>1</v>
      </c>
      <c r="H483" s="31">
        <v>1</v>
      </c>
      <c r="I483" s="32" t="s">
        <v>36</v>
      </c>
      <c r="J483" s="33" t="s">
        <v>36</v>
      </c>
      <c r="K483" s="34" t="s">
        <v>5041</v>
      </c>
      <c r="L483" s="35" t="s">
        <v>4036</v>
      </c>
      <c r="M483" s="36" t="s">
        <v>5042</v>
      </c>
      <c r="N483" s="37" t="s">
        <v>5043</v>
      </c>
      <c r="O483" s="38" t="s">
        <v>4039</v>
      </c>
      <c r="P483" s="39" t="s">
        <v>1208</v>
      </c>
      <c r="Q483" s="40" t="s">
        <v>5044</v>
      </c>
      <c r="R483" s="41" t="s">
        <v>1210</v>
      </c>
      <c r="S483" s="42" t="s">
        <v>36</v>
      </c>
      <c r="T483" s="43" t="s">
        <v>5045</v>
      </c>
      <c r="U483" s="45" t="str">
        <f>HYPERLINK("https://my.pitchbook.com?p=251025-40P", "View people online")</f>
        <v>View people online</v>
      </c>
    </row>
    <row r="484" spans="1:21" x14ac:dyDescent="0.3">
      <c r="A484" s="4" t="s">
        <v>5046</v>
      </c>
      <c r="B484" s="5" t="s">
        <v>5047</v>
      </c>
      <c r="C484" s="6" t="s">
        <v>5048</v>
      </c>
      <c r="D484" s="7" t="s">
        <v>5049</v>
      </c>
      <c r="E484" s="8" t="s">
        <v>3398</v>
      </c>
      <c r="F484" s="9" t="s">
        <v>5050</v>
      </c>
      <c r="G484" s="10" t="s">
        <v>36</v>
      </c>
      <c r="H484" s="11">
        <v>1</v>
      </c>
      <c r="I484" s="12" t="s">
        <v>36</v>
      </c>
      <c r="J484" s="13" t="s">
        <v>36</v>
      </c>
      <c r="K484" s="14" t="s">
        <v>5051</v>
      </c>
      <c r="L484" s="15" t="s">
        <v>183</v>
      </c>
      <c r="M484" s="16" t="s">
        <v>5052</v>
      </c>
      <c r="N484" s="17" t="s">
        <v>5053</v>
      </c>
      <c r="O484" s="18" t="s">
        <v>186</v>
      </c>
      <c r="P484" s="19" t="s">
        <v>50</v>
      </c>
      <c r="Q484" s="20" t="s">
        <v>2974</v>
      </c>
      <c r="R484" s="21" t="s">
        <v>35</v>
      </c>
      <c r="S484" s="22" t="s">
        <v>36</v>
      </c>
      <c r="T484" s="23" t="s">
        <v>5054</v>
      </c>
      <c r="U484" s="44" t="str">
        <f>HYPERLINK("https://my.pitchbook.com?p=48814-21P", "View people online")</f>
        <v>View people online</v>
      </c>
    </row>
    <row r="485" spans="1:21" x14ac:dyDescent="0.3">
      <c r="A485" s="24" t="s">
        <v>5055</v>
      </c>
      <c r="B485" s="25" t="s">
        <v>5056</v>
      </c>
      <c r="C485" s="26" t="s">
        <v>5057</v>
      </c>
      <c r="D485" s="27" t="s">
        <v>2131</v>
      </c>
      <c r="E485" s="28" t="s">
        <v>86</v>
      </c>
      <c r="F485" s="29" t="s">
        <v>5058</v>
      </c>
      <c r="G485" s="30" t="s">
        <v>36</v>
      </c>
      <c r="H485" s="31">
        <v>1</v>
      </c>
      <c r="I485" s="32" t="s">
        <v>36</v>
      </c>
      <c r="J485" s="33" t="s">
        <v>36</v>
      </c>
      <c r="K485" s="34" t="s">
        <v>5059</v>
      </c>
      <c r="L485" s="35" t="s">
        <v>1404</v>
      </c>
      <c r="M485" s="36" t="s">
        <v>5060</v>
      </c>
      <c r="N485" s="37" t="s">
        <v>5034</v>
      </c>
      <c r="O485" s="38" t="s">
        <v>1407</v>
      </c>
      <c r="P485" s="39" t="s">
        <v>50</v>
      </c>
      <c r="Q485" s="40" t="s">
        <v>1562</v>
      </c>
      <c r="R485" s="41" t="s">
        <v>35</v>
      </c>
      <c r="S485" s="42" t="s">
        <v>36</v>
      </c>
      <c r="T485" s="43" t="s">
        <v>5061</v>
      </c>
      <c r="U485" s="45" t="str">
        <f>HYPERLINK("https://my.pitchbook.com?p=163517-68P", "View people online")</f>
        <v>View people online</v>
      </c>
    </row>
    <row r="486" spans="1:21" x14ac:dyDescent="0.3">
      <c r="A486" s="4" t="s">
        <v>5062</v>
      </c>
      <c r="B486" s="5" t="s">
        <v>5063</v>
      </c>
      <c r="C486" s="6" t="s">
        <v>5064</v>
      </c>
      <c r="D486" s="7" t="s">
        <v>2143</v>
      </c>
      <c r="E486" s="8" t="s">
        <v>314</v>
      </c>
      <c r="F486" s="9" t="s">
        <v>5065</v>
      </c>
      <c r="G486" s="10">
        <v>1</v>
      </c>
      <c r="H486" s="11">
        <v>1</v>
      </c>
      <c r="I486" s="12" t="s">
        <v>36</v>
      </c>
      <c r="J486" s="13" t="s">
        <v>5066</v>
      </c>
      <c r="K486" s="14" t="s">
        <v>5067</v>
      </c>
      <c r="L486" s="15" t="s">
        <v>344</v>
      </c>
      <c r="M486" s="16" t="s">
        <v>5068</v>
      </c>
      <c r="N486" s="17" t="s">
        <v>36</v>
      </c>
      <c r="O486" s="18" t="s">
        <v>347</v>
      </c>
      <c r="P486" s="19" t="s">
        <v>50</v>
      </c>
      <c r="Q486" s="20" t="s">
        <v>348</v>
      </c>
      <c r="R486" s="21" t="s">
        <v>35</v>
      </c>
      <c r="S486" s="22" t="s">
        <v>36</v>
      </c>
      <c r="T486" s="23" t="s">
        <v>5069</v>
      </c>
      <c r="U486" s="44" t="str">
        <f>HYPERLINK("https://my.pitchbook.com?p=119601-19P", "View people online")</f>
        <v>View people online</v>
      </c>
    </row>
    <row r="487" spans="1:21" x14ac:dyDescent="0.3">
      <c r="A487" s="24" t="s">
        <v>5070</v>
      </c>
      <c r="B487" s="25" t="s">
        <v>5071</v>
      </c>
      <c r="C487" s="26" t="s">
        <v>5072</v>
      </c>
      <c r="D487" s="27" t="s">
        <v>2143</v>
      </c>
      <c r="E487" s="28" t="s">
        <v>179</v>
      </c>
      <c r="F487" s="29" t="s">
        <v>5073</v>
      </c>
      <c r="G487" s="30" t="s">
        <v>36</v>
      </c>
      <c r="H487" s="31">
        <v>1</v>
      </c>
      <c r="I487" s="32" t="s">
        <v>36</v>
      </c>
      <c r="J487" s="33" t="s">
        <v>5074</v>
      </c>
      <c r="K487" s="34" t="s">
        <v>5075</v>
      </c>
      <c r="L487" s="35" t="s">
        <v>169</v>
      </c>
      <c r="M487" s="36" t="s">
        <v>5076</v>
      </c>
      <c r="N487" s="37" t="s">
        <v>36</v>
      </c>
      <c r="O487" s="38" t="s">
        <v>172</v>
      </c>
      <c r="P487" s="39" t="s">
        <v>50</v>
      </c>
      <c r="Q487" s="40" t="s">
        <v>173</v>
      </c>
      <c r="R487" s="41" t="s">
        <v>35</v>
      </c>
      <c r="S487" s="42" t="s">
        <v>36</v>
      </c>
      <c r="T487" s="43" t="s">
        <v>5077</v>
      </c>
      <c r="U487" s="45" t="str">
        <f>HYPERLINK("https://my.pitchbook.com?p=45497-80P", "View people online")</f>
        <v>View people online</v>
      </c>
    </row>
    <row r="488" spans="1:21" x14ac:dyDescent="0.3">
      <c r="A488" s="4" t="s">
        <v>5078</v>
      </c>
      <c r="B488" s="5" t="s">
        <v>5079</v>
      </c>
      <c r="C488" s="6" t="s">
        <v>5080</v>
      </c>
      <c r="D488" s="7" t="s">
        <v>2143</v>
      </c>
      <c r="E488" s="8" t="s">
        <v>86</v>
      </c>
      <c r="F488" s="9" t="s">
        <v>5081</v>
      </c>
      <c r="G488" s="10" t="s">
        <v>36</v>
      </c>
      <c r="H488" s="11">
        <v>1</v>
      </c>
      <c r="I488" s="12" t="s">
        <v>36</v>
      </c>
      <c r="J488" s="13" t="s">
        <v>36</v>
      </c>
      <c r="K488" s="14" t="s">
        <v>5082</v>
      </c>
      <c r="L488" s="15" t="s">
        <v>818</v>
      </c>
      <c r="M488" s="16" t="s">
        <v>5083</v>
      </c>
      <c r="N488" s="17" t="s">
        <v>4179</v>
      </c>
      <c r="O488" s="18" t="s">
        <v>821</v>
      </c>
      <c r="P488" s="19" t="s">
        <v>50</v>
      </c>
      <c r="Q488" s="20" t="s">
        <v>850</v>
      </c>
      <c r="R488" s="21" t="s">
        <v>35</v>
      </c>
      <c r="S488" s="22" t="s">
        <v>36</v>
      </c>
      <c r="T488" s="23" t="s">
        <v>5084</v>
      </c>
      <c r="U488" s="44" t="str">
        <f>HYPERLINK("https://my.pitchbook.com?p=127839-52P", "View people online")</f>
        <v>View people online</v>
      </c>
    </row>
    <row r="489" spans="1:21" x14ac:dyDescent="0.3">
      <c r="A489" s="24" t="s">
        <v>5085</v>
      </c>
      <c r="B489" s="25" t="s">
        <v>5086</v>
      </c>
      <c r="C489" s="26" t="s">
        <v>5087</v>
      </c>
      <c r="D489" s="27" t="s">
        <v>2143</v>
      </c>
      <c r="E489" s="28" t="s">
        <v>898</v>
      </c>
      <c r="F489" s="29" t="s">
        <v>5088</v>
      </c>
      <c r="G489" s="30">
        <v>1</v>
      </c>
      <c r="H489" s="31">
        <v>1</v>
      </c>
      <c r="I489" s="32" t="s">
        <v>36</v>
      </c>
      <c r="J489" s="33" t="s">
        <v>5089</v>
      </c>
      <c r="K489" s="34" t="s">
        <v>36</v>
      </c>
      <c r="L489" s="35" t="s">
        <v>2904</v>
      </c>
      <c r="M489" s="36" t="s">
        <v>5090</v>
      </c>
      <c r="N489" s="37" t="s">
        <v>36</v>
      </c>
      <c r="O489" s="38" t="s">
        <v>2907</v>
      </c>
      <c r="P489" s="39" t="s">
        <v>50</v>
      </c>
      <c r="Q489" s="40" t="s">
        <v>2908</v>
      </c>
      <c r="R489" s="41" t="s">
        <v>35</v>
      </c>
      <c r="S489" s="42" t="s">
        <v>5091</v>
      </c>
      <c r="T489" s="43" t="s">
        <v>5092</v>
      </c>
      <c r="U489" s="45" t="str">
        <f>HYPERLINK("https://my.pitchbook.com?p=170700-94P", "View people online")</f>
        <v>View people online</v>
      </c>
    </row>
    <row r="490" spans="1:21" x14ac:dyDescent="0.3">
      <c r="A490" s="4" t="s">
        <v>5093</v>
      </c>
      <c r="B490" s="5" t="s">
        <v>5094</v>
      </c>
      <c r="C490" s="6" t="s">
        <v>5095</v>
      </c>
      <c r="D490" s="7" t="s">
        <v>2143</v>
      </c>
      <c r="E490" s="8" t="s">
        <v>1912</v>
      </c>
      <c r="F490" s="9" t="s">
        <v>5096</v>
      </c>
      <c r="G490" s="10" t="s">
        <v>36</v>
      </c>
      <c r="H490" s="11">
        <v>1</v>
      </c>
      <c r="I490" s="12" t="s">
        <v>36</v>
      </c>
      <c r="J490" s="13" t="s">
        <v>36</v>
      </c>
      <c r="K490" s="14" t="s">
        <v>5097</v>
      </c>
      <c r="L490" s="15" t="s">
        <v>183</v>
      </c>
      <c r="M490" s="16" t="s">
        <v>5098</v>
      </c>
      <c r="N490" s="17" t="s">
        <v>36</v>
      </c>
      <c r="O490" s="18" t="s">
        <v>186</v>
      </c>
      <c r="P490" s="19" t="s">
        <v>50</v>
      </c>
      <c r="Q490" s="20" t="s">
        <v>1196</v>
      </c>
      <c r="R490" s="21" t="s">
        <v>35</v>
      </c>
      <c r="S490" s="22" t="s">
        <v>36</v>
      </c>
      <c r="T490" s="23" t="s">
        <v>5099</v>
      </c>
      <c r="U490" s="44" t="str">
        <f>HYPERLINK("https://my.pitchbook.com?p=107662-51P", "View people online")</f>
        <v>View people online</v>
      </c>
    </row>
    <row r="491" spans="1:21" x14ac:dyDescent="0.3">
      <c r="A491" s="24" t="s">
        <v>5100</v>
      </c>
      <c r="B491" s="25" t="s">
        <v>5101</v>
      </c>
      <c r="C491" s="26" t="s">
        <v>5102</v>
      </c>
      <c r="D491" s="27" t="s">
        <v>2143</v>
      </c>
      <c r="E491" s="28" t="s">
        <v>5103</v>
      </c>
      <c r="F491" s="29" t="s">
        <v>5104</v>
      </c>
      <c r="G491" s="30" t="s">
        <v>36</v>
      </c>
      <c r="H491" s="31">
        <v>1</v>
      </c>
      <c r="I491" s="32" t="s">
        <v>36</v>
      </c>
      <c r="J491" s="33" t="s">
        <v>5105</v>
      </c>
      <c r="K491" s="34" t="s">
        <v>5106</v>
      </c>
      <c r="L491" s="35" t="s">
        <v>3943</v>
      </c>
      <c r="M491" s="36" t="s">
        <v>5107</v>
      </c>
      <c r="N491" s="37" t="s">
        <v>5108</v>
      </c>
      <c r="O491" s="38" t="s">
        <v>3945</v>
      </c>
      <c r="P491" s="39" t="s">
        <v>2962</v>
      </c>
      <c r="Q491" s="40" t="s">
        <v>5109</v>
      </c>
      <c r="R491" s="41" t="s">
        <v>35</v>
      </c>
      <c r="S491" s="42" t="s">
        <v>36</v>
      </c>
      <c r="T491" s="43" t="s">
        <v>5110</v>
      </c>
      <c r="U491" s="45" t="str">
        <f>HYPERLINK("https://my.pitchbook.com?p=250698-70P", "View people online")</f>
        <v>View people online</v>
      </c>
    </row>
    <row r="492" spans="1:21" x14ac:dyDescent="0.3">
      <c r="A492" s="4" t="s">
        <v>5111</v>
      </c>
      <c r="B492" s="5" t="s">
        <v>5112</v>
      </c>
      <c r="C492" s="6" t="s">
        <v>5113</v>
      </c>
      <c r="D492" s="7" t="s">
        <v>2143</v>
      </c>
      <c r="E492" s="8" t="s">
        <v>2661</v>
      </c>
      <c r="F492" s="9" t="s">
        <v>5114</v>
      </c>
      <c r="G492" s="10">
        <v>1</v>
      </c>
      <c r="H492" s="11">
        <v>1</v>
      </c>
      <c r="I492" s="12" t="s">
        <v>36</v>
      </c>
      <c r="J492" s="13" t="s">
        <v>5115</v>
      </c>
      <c r="K492" s="14" t="s">
        <v>5116</v>
      </c>
      <c r="L492" s="15" t="s">
        <v>5117</v>
      </c>
      <c r="M492" s="16" t="s">
        <v>5118</v>
      </c>
      <c r="N492" s="17" t="s">
        <v>529</v>
      </c>
      <c r="O492" s="18" t="s">
        <v>5119</v>
      </c>
      <c r="P492" s="19" t="s">
        <v>50</v>
      </c>
      <c r="Q492" s="20" t="s">
        <v>5120</v>
      </c>
      <c r="R492" s="21" t="s">
        <v>35</v>
      </c>
      <c r="S492" s="22" t="s">
        <v>36</v>
      </c>
      <c r="T492" s="23" t="s">
        <v>5121</v>
      </c>
      <c r="U492" s="44" t="str">
        <f>HYPERLINK("https://my.pitchbook.com?p=65469-61P", "View people online")</f>
        <v>View people online</v>
      </c>
    </row>
    <row r="493" spans="1:21" x14ac:dyDescent="0.3">
      <c r="A493" s="24" t="s">
        <v>5122</v>
      </c>
      <c r="B493" s="25" t="s">
        <v>5123</v>
      </c>
      <c r="C493" s="26" t="s">
        <v>5124</v>
      </c>
      <c r="D493" s="27" t="s">
        <v>2143</v>
      </c>
      <c r="E493" s="28" t="s">
        <v>314</v>
      </c>
      <c r="F493" s="29" t="s">
        <v>5125</v>
      </c>
      <c r="G493" s="30">
        <v>1</v>
      </c>
      <c r="H493" s="31">
        <v>1</v>
      </c>
      <c r="I493" s="32" t="s">
        <v>36</v>
      </c>
      <c r="J493" s="33" t="s">
        <v>36</v>
      </c>
      <c r="K493" s="34" t="s">
        <v>5126</v>
      </c>
      <c r="L493" s="35" t="s">
        <v>183</v>
      </c>
      <c r="M493" s="36" t="s">
        <v>5127</v>
      </c>
      <c r="N493" s="37" t="s">
        <v>36</v>
      </c>
      <c r="O493" s="38" t="s">
        <v>186</v>
      </c>
      <c r="P493" s="39" t="s">
        <v>50</v>
      </c>
      <c r="Q493" s="40" t="s">
        <v>957</v>
      </c>
      <c r="R493" s="41" t="s">
        <v>35</v>
      </c>
      <c r="S493" s="42" t="s">
        <v>36</v>
      </c>
      <c r="T493" s="43" t="s">
        <v>5128</v>
      </c>
      <c r="U493" s="45" t="str">
        <f>HYPERLINK("https://my.pitchbook.com?p=65869-12P", "View people online")</f>
        <v>View people online</v>
      </c>
    </row>
    <row r="494" spans="1:21" x14ac:dyDescent="0.3">
      <c r="A494" s="4" t="s">
        <v>5129</v>
      </c>
      <c r="B494" s="5" t="s">
        <v>5130</v>
      </c>
      <c r="C494" s="6" t="s">
        <v>5131</v>
      </c>
      <c r="D494" s="7" t="s">
        <v>2143</v>
      </c>
      <c r="E494" s="8" t="s">
        <v>179</v>
      </c>
      <c r="F494" s="9" t="s">
        <v>5132</v>
      </c>
      <c r="G494" s="10" t="s">
        <v>36</v>
      </c>
      <c r="H494" s="11">
        <v>1</v>
      </c>
      <c r="I494" s="12" t="s">
        <v>36</v>
      </c>
      <c r="J494" s="13" t="s">
        <v>36</v>
      </c>
      <c r="K494" s="14" t="s">
        <v>5133</v>
      </c>
      <c r="L494" s="15" t="s">
        <v>183</v>
      </c>
      <c r="M494" s="16" t="s">
        <v>5134</v>
      </c>
      <c r="N494" s="17" t="s">
        <v>5135</v>
      </c>
      <c r="O494" s="18" t="s">
        <v>186</v>
      </c>
      <c r="P494" s="19" t="s">
        <v>50</v>
      </c>
      <c r="Q494" s="20" t="s">
        <v>266</v>
      </c>
      <c r="R494" s="21" t="s">
        <v>35</v>
      </c>
      <c r="S494" s="22" t="s">
        <v>36</v>
      </c>
      <c r="T494" s="23" t="s">
        <v>5136</v>
      </c>
      <c r="U494" s="44" t="str">
        <f>HYPERLINK("https://my.pitchbook.com?p=46539-28P", "View people online")</f>
        <v>View people online</v>
      </c>
    </row>
    <row r="495" spans="1:21" x14ac:dyDescent="0.3">
      <c r="A495" s="24" t="s">
        <v>5137</v>
      </c>
      <c r="B495" s="25" t="s">
        <v>5138</v>
      </c>
      <c r="C495" s="26" t="s">
        <v>5139</v>
      </c>
      <c r="D495" s="27" t="s">
        <v>2143</v>
      </c>
      <c r="E495" s="28" t="s">
        <v>5140</v>
      </c>
      <c r="F495" s="29" t="s">
        <v>5141</v>
      </c>
      <c r="G495" s="30" t="s">
        <v>36</v>
      </c>
      <c r="H495" s="31">
        <v>1</v>
      </c>
      <c r="I495" s="32" t="s">
        <v>36</v>
      </c>
      <c r="J495" s="33" t="s">
        <v>36</v>
      </c>
      <c r="K495" s="34" t="s">
        <v>5142</v>
      </c>
      <c r="L495" s="35" t="s">
        <v>1404</v>
      </c>
      <c r="M495" s="36" t="s">
        <v>3279</v>
      </c>
      <c r="N495" s="37" t="s">
        <v>466</v>
      </c>
      <c r="O495" s="38" t="s">
        <v>1407</v>
      </c>
      <c r="P495" s="39" t="s">
        <v>50</v>
      </c>
      <c r="Q495" s="40" t="s">
        <v>1417</v>
      </c>
      <c r="R495" s="41" t="s">
        <v>35</v>
      </c>
      <c r="S495" s="42" t="s">
        <v>36</v>
      </c>
      <c r="T495" s="43" t="s">
        <v>5143</v>
      </c>
      <c r="U495" s="45" t="str">
        <f>HYPERLINK("https://my.pitchbook.com?p=47672-02P", "View people online")</f>
        <v>View people online</v>
      </c>
    </row>
    <row r="496" spans="1:21" x14ac:dyDescent="0.3">
      <c r="A496" s="4" t="s">
        <v>5144</v>
      </c>
      <c r="B496" s="5" t="s">
        <v>5145</v>
      </c>
      <c r="C496" s="6" t="s">
        <v>5146</v>
      </c>
      <c r="D496" s="7" t="s">
        <v>5147</v>
      </c>
      <c r="E496" s="8" t="s">
        <v>86</v>
      </c>
      <c r="F496" s="9" t="s">
        <v>5148</v>
      </c>
      <c r="G496" s="10" t="s">
        <v>36</v>
      </c>
      <c r="H496" s="11">
        <v>1</v>
      </c>
      <c r="I496" s="12" t="s">
        <v>36</v>
      </c>
      <c r="J496" s="13" t="s">
        <v>5149</v>
      </c>
      <c r="K496" s="14" t="s">
        <v>5150</v>
      </c>
      <c r="L496" s="15" t="s">
        <v>5151</v>
      </c>
      <c r="M496" s="16" t="s">
        <v>5152</v>
      </c>
      <c r="N496" s="17" t="s">
        <v>1809</v>
      </c>
      <c r="O496" s="18" t="s">
        <v>5153</v>
      </c>
      <c r="P496" s="19" t="s">
        <v>516</v>
      </c>
      <c r="Q496" s="20" t="s">
        <v>5154</v>
      </c>
      <c r="R496" s="21" t="s">
        <v>35</v>
      </c>
      <c r="S496" s="22" t="s">
        <v>5155</v>
      </c>
      <c r="T496" s="23" t="s">
        <v>5156</v>
      </c>
      <c r="U496" s="44" t="str">
        <f>HYPERLINK("https://my.pitchbook.com?p=118240-03P", "View people online")</f>
        <v>View people online</v>
      </c>
    </row>
    <row r="497" spans="1:21" x14ac:dyDescent="0.3">
      <c r="A497" s="24" t="s">
        <v>5157</v>
      </c>
      <c r="B497" s="25" t="s">
        <v>5158</v>
      </c>
      <c r="C497" s="26" t="s">
        <v>5159</v>
      </c>
      <c r="D497" s="27" t="s">
        <v>2162</v>
      </c>
      <c r="E497" s="28" t="s">
        <v>314</v>
      </c>
      <c r="F497" s="29" t="s">
        <v>5160</v>
      </c>
      <c r="G497" s="30">
        <v>1</v>
      </c>
      <c r="H497" s="31">
        <v>1</v>
      </c>
      <c r="I497" s="32" t="s">
        <v>36</v>
      </c>
      <c r="J497" s="33" t="s">
        <v>5161</v>
      </c>
      <c r="K497" s="34" t="s">
        <v>36</v>
      </c>
      <c r="L497" s="35" t="s">
        <v>144</v>
      </c>
      <c r="M497" s="36" t="s">
        <v>5162</v>
      </c>
      <c r="N497" s="37" t="s">
        <v>624</v>
      </c>
      <c r="O497" s="38" t="s">
        <v>146</v>
      </c>
      <c r="P497" s="39" t="s">
        <v>50</v>
      </c>
      <c r="Q497" s="40" t="s">
        <v>147</v>
      </c>
      <c r="R497" s="41" t="s">
        <v>35</v>
      </c>
      <c r="S497" s="42" t="s">
        <v>36</v>
      </c>
      <c r="T497" s="43" t="s">
        <v>5163</v>
      </c>
      <c r="U497" s="45" t="str">
        <f>HYPERLINK("https://my.pitchbook.com?p=116341-39P", "View people online")</f>
        <v>View people online</v>
      </c>
    </row>
    <row r="498" spans="1:21" x14ac:dyDescent="0.3">
      <c r="A498" s="4" t="s">
        <v>5164</v>
      </c>
      <c r="B498" s="5" t="s">
        <v>5165</v>
      </c>
      <c r="C498" s="6" t="s">
        <v>5166</v>
      </c>
      <c r="D498" s="7" t="s">
        <v>2162</v>
      </c>
      <c r="E498" s="8" t="s">
        <v>128</v>
      </c>
      <c r="F498" s="9" t="s">
        <v>5167</v>
      </c>
      <c r="G498" s="10" t="s">
        <v>36</v>
      </c>
      <c r="H498" s="11">
        <v>1</v>
      </c>
      <c r="I498" s="12" t="s">
        <v>36</v>
      </c>
      <c r="J498" s="13" t="s">
        <v>5168</v>
      </c>
      <c r="K498" s="14" t="s">
        <v>5169</v>
      </c>
      <c r="L498" s="15" t="s">
        <v>3352</v>
      </c>
      <c r="M498" s="16" t="s">
        <v>5170</v>
      </c>
      <c r="N498" s="17" t="s">
        <v>36</v>
      </c>
      <c r="O498" s="18" t="s">
        <v>3354</v>
      </c>
      <c r="P498" s="19" t="s">
        <v>50</v>
      </c>
      <c r="Q498" s="20" t="s">
        <v>3355</v>
      </c>
      <c r="R498" s="21" t="s">
        <v>35</v>
      </c>
      <c r="S498" s="22" t="s">
        <v>36</v>
      </c>
      <c r="T498" s="23" t="s">
        <v>5171</v>
      </c>
      <c r="U498" s="44" t="str">
        <f>HYPERLINK("https://my.pitchbook.com?p=140193-19P", "View people online")</f>
        <v>View people online</v>
      </c>
    </row>
    <row r="499" spans="1:21" x14ac:dyDescent="0.3">
      <c r="A499" s="24" t="s">
        <v>5172</v>
      </c>
      <c r="B499" s="25" t="s">
        <v>5173</v>
      </c>
      <c r="C499" s="26" t="s">
        <v>5174</v>
      </c>
      <c r="D499" s="27" t="s">
        <v>5175</v>
      </c>
      <c r="E499" s="28" t="s">
        <v>5176</v>
      </c>
      <c r="F499" s="29" t="s">
        <v>5177</v>
      </c>
      <c r="G499" s="30" t="s">
        <v>36</v>
      </c>
      <c r="H499" s="31">
        <v>1</v>
      </c>
      <c r="I499" s="32" t="s">
        <v>36</v>
      </c>
      <c r="J499" s="33" t="s">
        <v>5178</v>
      </c>
      <c r="K499" s="34" t="s">
        <v>36</v>
      </c>
      <c r="L499" s="35" t="s">
        <v>1112</v>
      </c>
      <c r="M499" s="36" t="s">
        <v>5179</v>
      </c>
      <c r="N499" s="37" t="s">
        <v>3063</v>
      </c>
      <c r="O499" s="38" t="s">
        <v>1114</v>
      </c>
      <c r="P499" s="39" t="s">
        <v>1115</v>
      </c>
      <c r="Q499" s="40" t="s">
        <v>2208</v>
      </c>
      <c r="R499" s="41" t="s">
        <v>35</v>
      </c>
      <c r="S499" s="42" t="s">
        <v>36</v>
      </c>
      <c r="T499" s="43" t="s">
        <v>5180</v>
      </c>
      <c r="U499" s="45" t="str">
        <f>HYPERLINK("https://my.pitchbook.com?p=174011-50P", "View people online")</f>
        <v>View people online</v>
      </c>
    </row>
    <row r="500" spans="1:21" x14ac:dyDescent="0.3">
      <c r="A500" s="4" t="s">
        <v>5181</v>
      </c>
      <c r="B500" s="5" t="s">
        <v>5182</v>
      </c>
      <c r="C500" s="6" t="s">
        <v>5183</v>
      </c>
      <c r="D500" s="7" t="s">
        <v>5184</v>
      </c>
      <c r="E500" s="8" t="s">
        <v>314</v>
      </c>
      <c r="F500" s="9" t="s">
        <v>5185</v>
      </c>
      <c r="G500" s="10">
        <v>1</v>
      </c>
      <c r="H500" s="11">
        <v>1</v>
      </c>
      <c r="I500" s="12" t="s">
        <v>36</v>
      </c>
      <c r="J500" s="13" t="s">
        <v>5186</v>
      </c>
      <c r="K500" s="14" t="s">
        <v>5187</v>
      </c>
      <c r="L500" s="15" t="s">
        <v>2092</v>
      </c>
      <c r="M500" s="16" t="s">
        <v>5188</v>
      </c>
      <c r="N500" s="17" t="s">
        <v>5189</v>
      </c>
      <c r="O500" s="18" t="s">
        <v>2094</v>
      </c>
      <c r="P500" s="19" t="s">
        <v>50</v>
      </c>
      <c r="Q500" s="20" t="s">
        <v>5190</v>
      </c>
      <c r="R500" s="21" t="s">
        <v>35</v>
      </c>
      <c r="S500" s="22" t="s">
        <v>36</v>
      </c>
      <c r="T500" s="23" t="s">
        <v>5191</v>
      </c>
      <c r="U500" s="44" t="str">
        <f>HYPERLINK("https://my.pitchbook.com?p=45059-95P", "View people online")</f>
        <v>View people online</v>
      </c>
    </row>
    <row r="501" spans="1:21" x14ac:dyDescent="0.3">
      <c r="A501" s="24" t="s">
        <v>5192</v>
      </c>
      <c r="B501" s="25" t="s">
        <v>5193</v>
      </c>
      <c r="C501" s="26" t="s">
        <v>5194</v>
      </c>
      <c r="D501" s="27" t="s">
        <v>5195</v>
      </c>
      <c r="E501" s="28" t="s">
        <v>1192</v>
      </c>
      <c r="F501" s="29" t="s">
        <v>5196</v>
      </c>
      <c r="G501" s="30" t="s">
        <v>36</v>
      </c>
      <c r="H501" s="31">
        <v>1</v>
      </c>
      <c r="I501" s="32" t="s">
        <v>36</v>
      </c>
      <c r="J501" s="33" t="s">
        <v>36</v>
      </c>
      <c r="K501" s="34" t="s">
        <v>5197</v>
      </c>
      <c r="L501" s="35" t="s">
        <v>5198</v>
      </c>
      <c r="M501" s="36" t="s">
        <v>5199</v>
      </c>
      <c r="N501" s="37" t="s">
        <v>36</v>
      </c>
      <c r="O501" s="38" t="s">
        <v>5200</v>
      </c>
      <c r="P501" s="39" t="s">
        <v>5201</v>
      </c>
      <c r="Q501" s="40" t="s">
        <v>5202</v>
      </c>
      <c r="R501" s="41" t="s">
        <v>35</v>
      </c>
      <c r="S501" s="42" t="s">
        <v>36</v>
      </c>
      <c r="T501" s="43" t="s">
        <v>5203</v>
      </c>
      <c r="U501" s="45" t="str">
        <f>HYPERLINK("https://my.pitchbook.com?p=144491-59P", "View people online")</f>
        <v>View people online</v>
      </c>
    </row>
    <row r="503" spans="1:21" x14ac:dyDescent="0.3">
      <c r="B503"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Seymour Tseng</cp:lastModifiedBy>
  <dcterms:created xsi:type="dcterms:W3CDTF">2010-12-15T16:54:07Z</dcterms:created>
  <dcterms:modified xsi:type="dcterms:W3CDTF">2021-01-30T01:32:28Z</dcterms:modified>
</cp:coreProperties>
</file>